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C:\Users\hhobo\Downloads\"/>
    </mc:Choice>
  </mc:AlternateContent>
  <xr:revisionPtr revIDLastSave="0" documentId="13_ncr:1_{8A3DCE6A-42AE-44FC-82FF-848A8D4CA2A0}" xr6:coauthVersionLast="47" xr6:coauthVersionMax="47" xr10:uidLastSave="{00000000-0000-0000-0000-000000000000}"/>
  <workbookProtection workbookAlgorithmName="SHA-512" workbookHashValue="IYRC6yo8pMdxN4Ut22k80iDu2jqnKl2o6C93Yq3hFo3EU72RLdTLlpASJw9/XUTW9ORJY9uPqUAKaXcZpkmh5w==" workbookSaltValue="WJn2vviBgPjPtgn/u7hjlQ==" workbookSpinCount="100000" lockStructure="1"/>
  <bookViews>
    <workbookView xWindow="600" yWindow="1170" windowWidth="28200" windowHeight="14895" tabRatio="710" xr2:uid="{00000000-000D-0000-FFFF-FFFF00000000}"/>
  </bookViews>
  <sheets>
    <sheet name="入力シート" sheetId="35" r:id="rId1"/>
    <sheet name="「確認申請」自動計算見積書" sheetId="54" state="hidden" r:id="rId2"/>
    <sheet name="「省エネ」自動計算見積書" sheetId="57" state="hidden" r:id="rId3"/>
    <sheet name="「住宅性能評価」自動計算見積書" sheetId="58" state="hidden" r:id="rId4"/>
    <sheet name="【手動用】見積書（確認建築物）" sheetId="22" state="hidden" r:id="rId5"/>
    <sheet name="【手動用】見積書（省エネ）１棟目" sheetId="41" state="hidden" r:id="rId6"/>
    <sheet name="見積書（省エネ） (2棟目)" sheetId="55" state="hidden" r:id="rId7"/>
    <sheet name="見積書（省エネ） (3棟目)" sheetId="56" state="hidden" r:id="rId8"/>
    <sheet name="見積書（適合証明、フラット）" sheetId="53" state="hidden" r:id="rId9"/>
    <sheet name="【手動用】見積書（住宅性能評価）" sheetId="46" state="hidden" r:id="rId10"/>
    <sheet name="見積書（長期使用構造等確認）" sheetId="47" state="hidden" r:id="rId11"/>
    <sheet name="見積書（BELS）" sheetId="48" state="hidden" r:id="rId12"/>
    <sheet name="見積書（低炭素）" sheetId="51" state="hidden" r:id="rId13"/>
    <sheet name="基本入力データシート" sheetId="39" state="hidden" r:id="rId14"/>
    <sheet name="検査料金住所検索データ" sheetId="45" state="hidden" r:id="rId15"/>
    <sheet name="確認申請料金表データ" sheetId="38" state="hidden" r:id="rId16"/>
    <sheet name="省エネ料金表データ" sheetId="42" state="hidden" r:id="rId17"/>
    <sheet name="住宅性能評価、長期使用" sheetId="43" state="hidden" r:id="rId18"/>
    <sheet name="BELS料金表データ" sheetId="49" state="hidden" r:id="rId19"/>
    <sheet name="低炭素料金表データ" sheetId="50" state="hidden" r:id="rId20"/>
    <sheet name="適合証明「フラット」" sheetId="52" state="hidden" r:id="rId21"/>
  </sheets>
  <definedNames>
    <definedName name="_xlnm.Print_Area" localSheetId="1">「確認申請」自動計算見積書!$A$1:$L$50</definedName>
    <definedName name="_xlnm.Print_Area" localSheetId="3">「住宅性能評価」自動計算見積書!$A$1:$L$51</definedName>
    <definedName name="_xlnm.Print_Area" localSheetId="2">「省エネ」自動計算見積書!$A$1:$L$50</definedName>
    <definedName name="_xlnm.Print_Area" localSheetId="4">'【手動用】見積書（確認建築物）'!$A$1:$L$57</definedName>
    <definedName name="_xlnm.Print_Area" localSheetId="9">'【手動用】見積書（住宅性能評価）'!$A$1:$L$50</definedName>
    <definedName name="_xlnm.Print_Area" localSheetId="5">'【手動用】見積書（省エネ）１棟目'!$A$1:$L$50</definedName>
    <definedName name="_xlnm.Print_Area" localSheetId="11">'見積書（BELS）'!$A$1:$L$50</definedName>
    <definedName name="_xlnm.Print_Area" localSheetId="6">'見積書（省エネ） (2棟目)'!$A$1:$L$50</definedName>
    <definedName name="_xlnm.Print_Area" localSheetId="7">'見積書（省エネ） (3棟目)'!$A$1:$L$50</definedName>
    <definedName name="_xlnm.Print_Area" localSheetId="10">'見積書（長期使用構造等確認）'!$A$1:$L$46</definedName>
    <definedName name="_xlnm.Print_Area" localSheetId="12">'見積書（低炭素）'!$A$1:$L$50</definedName>
    <definedName name="_xlnm.Print_Area" localSheetId="8">'見積書（適合証明、フラット）'!$A$1:$L$50</definedName>
    <definedName name="宮崎県">検査料金住所検索データ!$AT$2:$AT$7</definedName>
    <definedName name="京都府">検査料金住所検索データ!$AA$2:$AA$12</definedName>
    <definedName name="熊本県">検査料金住所検索データ!$AR$2:$AR$15</definedName>
    <definedName name="見積先">'【手動用】見積書（確認建築物）'!$C$4</definedName>
    <definedName name="見積総額">「確認申請」自動計算見積書!$D$12</definedName>
    <definedName name="広島県">検査料金住所検索データ!$AI$2:$AI$12</definedName>
    <definedName name="佐賀県">検査料金住所検索データ!$AP$2:$AP$13</definedName>
    <definedName name="埼玉県">検査料金住所検索データ!$L$2:$L$19</definedName>
    <definedName name="山口県">検査料金住所検索データ!$AJ$2:$AJ$9</definedName>
    <definedName name="鹿児島県">検査料金住所検索データ!$AU$2:$AU$12</definedName>
    <definedName name="住宅系">基本入力データシート!$Y$3:$Y$9</definedName>
    <definedName name="神奈川県">検査料金住所検索データ!$O$2:$O$7</definedName>
    <definedName name="性能基準">基本入力データシート!$AD$4:$AD$7</definedName>
    <definedName name="千葉県">検査料金住所検索データ!$M$2:$M$27</definedName>
    <definedName name="大分県">検査料金住所検索データ!$AS$2:$AS$8</definedName>
    <definedName name="長崎県">検査料金住所検索データ!$AQ$2:$AQ$5</definedName>
    <definedName name="鳥取県">検査料金住所検索データ!$AF$2:$AF$5</definedName>
    <definedName name="東京都">検査料金住所検索データ!$N$2:$N$4</definedName>
    <definedName name="奈良県">検査料金住所検索データ!$AD$2:$AD$13</definedName>
    <definedName name="非住宅">基本入力データシート!$T$3:$T$6</definedName>
    <definedName name="福岡県">検査料金住所検索データ!$AO$2:$AO$28</definedName>
    <definedName name="兵庫県">検査料金住所検索データ!$AC$2:$AC$15</definedName>
    <definedName name="北海道">検査料金住所検索データ!$B$3</definedName>
    <definedName name="名前" localSheetId="1">「確認申請」自動計算見積書!$D$11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41" l="1"/>
  <c r="H21" i="41"/>
  <c r="J21" i="55"/>
  <c r="I21" i="55"/>
  <c r="H21" i="55"/>
  <c r="H15" i="55"/>
  <c r="C40" i="22" l="1"/>
  <c r="H40" i="22" s="1"/>
  <c r="C39" i="22"/>
  <c r="I39" i="22" s="1"/>
  <c r="C38" i="22"/>
  <c r="I38" i="22" s="1"/>
  <c r="C37" i="22"/>
  <c r="I37" i="22" s="1"/>
  <c r="I36" i="22"/>
  <c r="H36" i="22"/>
  <c r="I35" i="22"/>
  <c r="H35" i="22"/>
  <c r="I34" i="22"/>
  <c r="H34" i="22"/>
  <c r="I33" i="22"/>
  <c r="H33" i="22"/>
  <c r="C33" i="54"/>
  <c r="H33" i="54" s="1"/>
  <c r="C32" i="54"/>
  <c r="H32" i="54" s="1"/>
  <c r="C31" i="54"/>
  <c r="I31" i="54" s="1"/>
  <c r="C30" i="54"/>
  <c r="H30" i="54" s="1"/>
  <c r="C29" i="54"/>
  <c r="C28" i="54"/>
  <c r="C27" i="54"/>
  <c r="H27" i="54" s="1"/>
  <c r="I33" i="38"/>
  <c r="I32" i="38"/>
  <c r="I31" i="38"/>
  <c r="I30" i="38"/>
  <c r="I29" i="38"/>
  <c r="I28" i="38"/>
  <c r="I27" i="38"/>
  <c r="I26" i="38"/>
  <c r="I25" i="38"/>
  <c r="I24" i="38"/>
  <c r="I23" i="38"/>
  <c r="I22" i="38"/>
  <c r="I21" i="38"/>
  <c r="I20" i="38"/>
  <c r="I19" i="38"/>
  <c r="I18" i="38"/>
  <c r="I17" i="38"/>
  <c r="I16" i="38"/>
  <c r="I15" i="38"/>
  <c r="I14" i="38"/>
  <c r="I13" i="38"/>
  <c r="I12" i="38"/>
  <c r="I11" i="38"/>
  <c r="I10" i="38"/>
  <c r="H445" i="38"/>
  <c r="H444" i="38"/>
  <c r="H443" i="38"/>
  <c r="H442" i="38"/>
  <c r="H441" i="38"/>
  <c r="H440" i="38"/>
  <c r="H439" i="38"/>
  <c r="H438" i="38"/>
  <c r="H437" i="38"/>
  <c r="H436" i="38"/>
  <c r="H435" i="38"/>
  <c r="H434" i="38"/>
  <c r="H433" i="38"/>
  <c r="H432" i="38"/>
  <c r="H431" i="38"/>
  <c r="H430" i="38"/>
  <c r="H429" i="38"/>
  <c r="H428" i="38"/>
  <c r="H427" i="38"/>
  <c r="H426" i="38"/>
  <c r="H425" i="38"/>
  <c r="H424" i="38"/>
  <c r="H345" i="38"/>
  <c r="H344" i="38"/>
  <c r="H343" i="38"/>
  <c r="H342" i="38"/>
  <c r="H341" i="38"/>
  <c r="H340" i="38"/>
  <c r="H339" i="38"/>
  <c r="H338" i="38"/>
  <c r="H337" i="38"/>
  <c r="H336" i="38"/>
  <c r="H335" i="38"/>
  <c r="H334" i="38"/>
  <c r="H333" i="38"/>
  <c r="H332" i="38"/>
  <c r="H331" i="38"/>
  <c r="H330" i="38"/>
  <c r="H329" i="38"/>
  <c r="H328" i="38"/>
  <c r="H327" i="38"/>
  <c r="H326" i="38"/>
  <c r="H325" i="38"/>
  <c r="H324" i="38"/>
  <c r="H241" i="38"/>
  <c r="H240" i="38"/>
  <c r="H239" i="38"/>
  <c r="H238" i="38"/>
  <c r="H237" i="38"/>
  <c r="H236" i="38"/>
  <c r="H235" i="38"/>
  <c r="H234" i="38"/>
  <c r="H233" i="38"/>
  <c r="H232" i="38"/>
  <c r="H231" i="38"/>
  <c r="H230" i="38"/>
  <c r="H229" i="38"/>
  <c r="H228" i="38"/>
  <c r="H227" i="38"/>
  <c r="H226" i="38"/>
  <c r="H225" i="38"/>
  <c r="H224" i="38"/>
  <c r="H223" i="38"/>
  <c r="H222" i="38"/>
  <c r="H221" i="38"/>
  <c r="H220" i="38"/>
  <c r="H137" i="38"/>
  <c r="H136" i="38"/>
  <c r="H135" i="38"/>
  <c r="H134" i="38"/>
  <c r="H133" i="38"/>
  <c r="H132" i="38"/>
  <c r="H131" i="38"/>
  <c r="H130" i="38"/>
  <c r="H129" i="38"/>
  <c r="H128" i="38"/>
  <c r="H127" i="38"/>
  <c r="H126" i="38"/>
  <c r="H125" i="38"/>
  <c r="H124" i="38"/>
  <c r="H123" i="38"/>
  <c r="H122" i="38"/>
  <c r="H121" i="38"/>
  <c r="H120" i="38"/>
  <c r="H119" i="38"/>
  <c r="H118" i="38"/>
  <c r="H117" i="38"/>
  <c r="H116" i="38"/>
  <c r="P33" i="38"/>
  <c r="P445" i="38" s="1"/>
  <c r="P32" i="38"/>
  <c r="P344" i="38" s="1"/>
  <c r="P31" i="38"/>
  <c r="P343" i="38" s="1"/>
  <c r="P30" i="38"/>
  <c r="P442" i="38" s="1"/>
  <c r="P29" i="38"/>
  <c r="P237" i="38" s="1"/>
  <c r="P28" i="38"/>
  <c r="P340" i="38" s="1"/>
  <c r="P27" i="38"/>
  <c r="P339" i="38" s="1"/>
  <c r="P26" i="38"/>
  <c r="P130" i="38" s="1"/>
  <c r="P25" i="38"/>
  <c r="P437" i="38" s="1"/>
  <c r="P24" i="38"/>
  <c r="P336" i="38" s="1"/>
  <c r="P23" i="38"/>
  <c r="P335" i="38" s="1"/>
  <c r="P22" i="38"/>
  <c r="P434" i="38" s="1"/>
  <c r="P21" i="38"/>
  <c r="P229" i="38" s="1"/>
  <c r="P20" i="38"/>
  <c r="P332" i="38" s="1"/>
  <c r="P19" i="38"/>
  <c r="P331" i="38" s="1"/>
  <c r="P18" i="38"/>
  <c r="P17" i="38"/>
  <c r="P16" i="38"/>
  <c r="P226" i="38" s="1"/>
  <c r="P15" i="38"/>
  <c r="P225" i="38" s="1"/>
  <c r="P14" i="38"/>
  <c r="P428" i="38" s="1"/>
  <c r="P13" i="38"/>
  <c r="P119" i="38" s="1"/>
  <c r="P12" i="38"/>
  <c r="P426" i="38" s="1"/>
  <c r="P11" i="38"/>
  <c r="P221" i="38" s="1"/>
  <c r="P10" i="38"/>
  <c r="P324" i="38" s="1"/>
  <c r="P9" i="38"/>
  <c r="P219" i="38" s="1"/>
  <c r="P8" i="38"/>
  <c r="P114" i="38" s="1"/>
  <c r="P7" i="38"/>
  <c r="P113" i="38" s="1"/>
  <c r="P6" i="38"/>
  <c r="P320" i="38" s="1"/>
  <c r="O33" i="38"/>
  <c r="O32" i="38"/>
  <c r="O240" i="38" s="1"/>
  <c r="O31" i="38"/>
  <c r="O443" i="38" s="1"/>
  <c r="O30" i="38"/>
  <c r="O342" i="38" s="1"/>
  <c r="O29" i="38"/>
  <c r="O341" i="38" s="1"/>
  <c r="O28" i="38"/>
  <c r="O440" i="38" s="1"/>
  <c r="O27" i="38"/>
  <c r="O235" i="38" s="1"/>
  <c r="O26" i="38"/>
  <c r="O130" i="38" s="1"/>
  <c r="O25" i="38"/>
  <c r="O24" i="38"/>
  <c r="O436" i="38" s="1"/>
  <c r="O23" i="38"/>
  <c r="O231" i="38" s="1"/>
  <c r="O22" i="38"/>
  <c r="O126" i="38" s="1"/>
  <c r="O21" i="38"/>
  <c r="O333" i="38" s="1"/>
  <c r="O20" i="38"/>
  <c r="O432" i="38" s="1"/>
  <c r="O19" i="38"/>
  <c r="O331" i="38" s="1"/>
  <c r="O18" i="38"/>
  <c r="O17" i="38"/>
  <c r="O16" i="38"/>
  <c r="O430" i="38" s="1"/>
  <c r="O15" i="38"/>
  <c r="O121" i="38" s="1"/>
  <c r="O14" i="38"/>
  <c r="O224" i="38" s="1"/>
  <c r="O13" i="38"/>
  <c r="O427" i="38" s="1"/>
  <c r="O12" i="38"/>
  <c r="O222" i="38" s="1"/>
  <c r="O11" i="38"/>
  <c r="O221" i="38" s="1"/>
  <c r="O10" i="38"/>
  <c r="O324" i="38" s="1"/>
  <c r="O9" i="38"/>
  <c r="O8" i="38"/>
  <c r="O114" i="38" s="1"/>
  <c r="O7" i="38"/>
  <c r="O113" i="38" s="1"/>
  <c r="O6" i="38"/>
  <c r="O320" i="38" s="1"/>
  <c r="N33" i="38"/>
  <c r="N241" i="38" s="1"/>
  <c r="N32" i="38"/>
  <c r="N240" i="38" s="1"/>
  <c r="N31" i="38"/>
  <c r="N443" i="38" s="1"/>
  <c r="N30" i="38"/>
  <c r="N29" i="38"/>
  <c r="N441" i="38" s="1"/>
  <c r="N28" i="38"/>
  <c r="N440" i="38" s="1"/>
  <c r="N27" i="38"/>
  <c r="N131" i="38" s="1"/>
  <c r="N26" i="38"/>
  <c r="N438" i="38" s="1"/>
  <c r="N25" i="38"/>
  <c r="N129" i="38" s="1"/>
  <c r="N24" i="38"/>
  <c r="N336" i="38" s="1"/>
  <c r="N23" i="38"/>
  <c r="N435" i="38" s="1"/>
  <c r="N22" i="38"/>
  <c r="N334" i="38" s="1"/>
  <c r="N21" i="38"/>
  <c r="N433" i="38" s="1"/>
  <c r="N20" i="38"/>
  <c r="N228" i="38" s="1"/>
  <c r="N19" i="38"/>
  <c r="N331" i="38" s="1"/>
  <c r="N18" i="38"/>
  <c r="N17" i="38"/>
  <c r="N16" i="38"/>
  <c r="N330" i="38" s="1"/>
  <c r="N15" i="38"/>
  <c r="N429" i="38" s="1"/>
  <c r="N14" i="38"/>
  <c r="N428" i="38" s="1"/>
  <c r="N13" i="38"/>
  <c r="N327" i="38" s="1"/>
  <c r="N12" i="38"/>
  <c r="N426" i="38" s="1"/>
  <c r="N11" i="38"/>
  <c r="N425" i="38" s="1"/>
  <c r="N10" i="38"/>
  <c r="N324" i="38" s="1"/>
  <c r="N9" i="38"/>
  <c r="N115" i="38" s="1"/>
  <c r="N8" i="38"/>
  <c r="N322" i="38" s="1"/>
  <c r="N7" i="38"/>
  <c r="N113" i="38" s="1"/>
  <c r="N6" i="38"/>
  <c r="C23" i="54"/>
  <c r="Q33" i="38"/>
  <c r="Q32" i="38"/>
  <c r="Q31" i="38"/>
  <c r="Q30" i="38"/>
  <c r="Q29" i="38"/>
  <c r="Q28" i="38"/>
  <c r="Q27" i="38"/>
  <c r="Q26" i="38"/>
  <c r="Q25" i="38"/>
  <c r="Q24" i="38"/>
  <c r="Q23" i="38"/>
  <c r="Q22" i="38"/>
  <c r="Q21" i="38"/>
  <c r="Q20" i="38"/>
  <c r="Q19" i="38"/>
  <c r="Q18" i="38"/>
  <c r="Q17" i="38"/>
  <c r="Q16" i="38"/>
  <c r="Q15" i="38"/>
  <c r="Q14" i="38"/>
  <c r="Q13" i="38"/>
  <c r="Q12" i="38"/>
  <c r="Q11" i="38"/>
  <c r="Q10" i="38"/>
  <c r="Q9" i="38"/>
  <c r="Q8" i="38"/>
  <c r="Q7" i="38"/>
  <c r="Q6" i="38"/>
  <c r="P444" i="38"/>
  <c r="P443" i="38"/>
  <c r="P342" i="38"/>
  <c r="P337" i="38"/>
  <c r="P333" i="38"/>
  <c r="P328" i="38"/>
  <c r="P323" i="38"/>
  <c r="P322" i="38"/>
  <c r="P230" i="38"/>
  <c r="P224" i="38"/>
  <c r="P134" i="38"/>
  <c r="P129" i="38"/>
  <c r="P120" i="38"/>
  <c r="P112" i="38"/>
  <c r="O445" i="38"/>
  <c r="O441" i="38"/>
  <c r="O438" i="38"/>
  <c r="O437" i="38"/>
  <c r="O424" i="38"/>
  <c r="O345" i="38"/>
  <c r="O344" i="38"/>
  <c r="O338" i="38"/>
  <c r="O337" i="38"/>
  <c r="O323" i="38"/>
  <c r="O241" i="38"/>
  <c r="O237" i="38"/>
  <c r="O236" i="38"/>
  <c r="O234" i="38"/>
  <c r="O233" i="38"/>
  <c r="O223" i="38"/>
  <c r="O220" i="38"/>
  <c r="O219" i="38"/>
  <c r="O137" i="38"/>
  <c r="O133" i="38"/>
  <c r="O129" i="38"/>
  <c r="O119" i="38"/>
  <c r="O115" i="38"/>
  <c r="N442" i="38"/>
  <c r="N437" i="38"/>
  <c r="N434" i="38"/>
  <c r="N342" i="38"/>
  <c r="N341" i="38"/>
  <c r="N337" i="38"/>
  <c r="N333" i="38"/>
  <c r="N328" i="38"/>
  <c r="N323" i="38"/>
  <c r="N320" i="38"/>
  <c r="N238" i="38"/>
  <c r="N230" i="38"/>
  <c r="N225" i="38"/>
  <c r="N224" i="38"/>
  <c r="N216" i="38"/>
  <c r="N137" i="38"/>
  <c r="N136" i="38"/>
  <c r="N135" i="38"/>
  <c r="N134" i="38"/>
  <c r="N126" i="38"/>
  <c r="N120" i="38"/>
  <c r="N112" i="38"/>
  <c r="M445" i="38"/>
  <c r="M444" i="38"/>
  <c r="M443" i="38"/>
  <c r="M442" i="38"/>
  <c r="M441" i="38"/>
  <c r="M440" i="38"/>
  <c r="M439" i="38"/>
  <c r="M438" i="38"/>
  <c r="M437" i="38"/>
  <c r="M436" i="38"/>
  <c r="M435" i="38"/>
  <c r="M434" i="38"/>
  <c r="M433" i="38"/>
  <c r="M432" i="38"/>
  <c r="M431" i="38"/>
  <c r="M430" i="38"/>
  <c r="M429" i="38"/>
  <c r="M428" i="38"/>
  <c r="M427" i="38"/>
  <c r="M426" i="38"/>
  <c r="M425" i="38"/>
  <c r="M424" i="38"/>
  <c r="M345" i="38"/>
  <c r="M344" i="38"/>
  <c r="M343" i="38"/>
  <c r="M342" i="38"/>
  <c r="M341" i="38"/>
  <c r="M340" i="38"/>
  <c r="M339" i="38"/>
  <c r="M338" i="38"/>
  <c r="M337" i="38"/>
  <c r="M336" i="38"/>
  <c r="M335" i="38"/>
  <c r="M334" i="38"/>
  <c r="M333" i="38"/>
  <c r="M332" i="38"/>
  <c r="M331" i="38"/>
  <c r="M330" i="38"/>
  <c r="M329" i="38"/>
  <c r="M328" i="38"/>
  <c r="M327" i="38"/>
  <c r="M326" i="38"/>
  <c r="M325" i="38"/>
  <c r="M324" i="38"/>
  <c r="M323" i="38"/>
  <c r="M322" i="38"/>
  <c r="M321" i="38"/>
  <c r="M320" i="38"/>
  <c r="M241" i="38"/>
  <c r="M240" i="38"/>
  <c r="M239" i="38"/>
  <c r="M238" i="38"/>
  <c r="M237" i="38"/>
  <c r="M236" i="38"/>
  <c r="M235" i="38"/>
  <c r="M234" i="38"/>
  <c r="M233" i="38"/>
  <c r="M232" i="38"/>
  <c r="M231" i="38"/>
  <c r="M230" i="38"/>
  <c r="M229" i="38"/>
  <c r="M228" i="38"/>
  <c r="M227" i="38"/>
  <c r="M226" i="38"/>
  <c r="M225" i="38"/>
  <c r="M224" i="38"/>
  <c r="M223" i="38"/>
  <c r="M222" i="38"/>
  <c r="M221" i="38"/>
  <c r="M220" i="38"/>
  <c r="M219" i="38"/>
  <c r="M218" i="38"/>
  <c r="M217" i="38"/>
  <c r="M216" i="38"/>
  <c r="M137" i="38"/>
  <c r="M136" i="38"/>
  <c r="M135" i="38"/>
  <c r="M134" i="38"/>
  <c r="M133" i="38"/>
  <c r="M132" i="38"/>
  <c r="M131" i="38"/>
  <c r="M130" i="38"/>
  <c r="M129" i="38"/>
  <c r="M128" i="38"/>
  <c r="M127" i="38"/>
  <c r="M126" i="38"/>
  <c r="M125" i="38"/>
  <c r="M124" i="38"/>
  <c r="M123" i="38"/>
  <c r="M122" i="38"/>
  <c r="M121" i="38"/>
  <c r="M120" i="38"/>
  <c r="M119" i="38"/>
  <c r="M118" i="38"/>
  <c r="M117" i="38"/>
  <c r="M116" i="38"/>
  <c r="M115" i="38"/>
  <c r="M114" i="38"/>
  <c r="M113" i="38"/>
  <c r="M112" i="38"/>
  <c r="C30" i="22"/>
  <c r="B30" i="22" s="1"/>
  <c r="H30" i="22"/>
  <c r="H23" i="54"/>
  <c r="J34" i="41"/>
  <c r="AQ18" i="38"/>
  <c r="AP18" i="38"/>
  <c r="AO18" i="38"/>
  <c r="AL18" i="38"/>
  <c r="AK18" i="38"/>
  <c r="AG18" i="38"/>
  <c r="AF18" i="38"/>
  <c r="AE18" i="38"/>
  <c r="AD18" i="38"/>
  <c r="AC18" i="38"/>
  <c r="AB18" i="38"/>
  <c r="AA18" i="38"/>
  <c r="Z18" i="38"/>
  <c r="AQ17" i="38"/>
  <c r="AP17" i="38"/>
  <c r="AO17" i="38"/>
  <c r="AL17" i="38"/>
  <c r="AK17" i="38"/>
  <c r="AG17" i="38"/>
  <c r="AF17" i="38"/>
  <c r="AE17" i="38"/>
  <c r="AD17" i="38"/>
  <c r="AC17" i="38"/>
  <c r="AB17" i="38"/>
  <c r="AA17" i="38"/>
  <c r="Z17" i="38"/>
  <c r="J28" i="46" a="1"/>
  <c r="J28" i="46" s="1"/>
  <c r="J29" i="58" a="1"/>
  <c r="J29" i="58" s="1"/>
  <c r="AC6" i="39"/>
  <c r="J25" i="47"/>
  <c r="J24" i="47"/>
  <c r="K24" i="47" s="1"/>
  <c r="L24" i="47"/>
  <c r="H24" i="47"/>
  <c r="I24" i="47" s="1" a="1"/>
  <c r="I24" i="47" s="1"/>
  <c r="B24" i="47"/>
  <c r="H20" i="43"/>
  <c r="H16" i="43"/>
  <c r="H17" i="43"/>
  <c r="H15" i="43"/>
  <c r="H19" i="43"/>
  <c r="H13" i="43"/>
  <c r="H14" i="43"/>
  <c r="H12" i="43"/>
  <c r="J31" i="48"/>
  <c r="L34" i="48"/>
  <c r="B34" i="48"/>
  <c r="J32" i="53"/>
  <c r="L31" i="48"/>
  <c r="B31" i="48"/>
  <c r="I32" i="53" a="1"/>
  <c r="I32" i="53" s="1"/>
  <c r="J29" i="53"/>
  <c r="AC5" i="39"/>
  <c r="C30" i="57" s="1"/>
  <c r="K16" i="55"/>
  <c r="K16" i="41"/>
  <c r="J21" i="41" s="1"/>
  <c r="K16" i="57"/>
  <c r="M40" i="39"/>
  <c r="M45" i="39"/>
  <c r="M44" i="39"/>
  <c r="M43" i="39"/>
  <c r="M42" i="39"/>
  <c r="M41" i="39"/>
  <c r="M39" i="39"/>
  <c r="M38" i="39"/>
  <c r="C24" i="58"/>
  <c r="H37" i="22" l="1"/>
  <c r="I40" i="22"/>
  <c r="H39" i="22"/>
  <c r="H38" i="22"/>
  <c r="H31" i="54"/>
  <c r="O135" i="38"/>
  <c r="O230" i="38"/>
  <c r="O328" i="38"/>
  <c r="O134" i="38"/>
  <c r="O136" i="38"/>
  <c r="O334" i="38"/>
  <c r="O428" i="38"/>
  <c r="O336" i="38"/>
  <c r="O216" i="38"/>
  <c r="N340" i="38"/>
  <c r="O120" i="38"/>
  <c r="O238" i="38"/>
  <c r="O343" i="38"/>
  <c r="O442" i="38"/>
  <c r="I27" i="54"/>
  <c r="I32" i="54"/>
  <c r="I33" i="54"/>
  <c r="I30" i="54"/>
  <c r="P223" i="38"/>
  <c r="P341" i="38"/>
  <c r="P427" i="38"/>
  <c r="O329" i="38"/>
  <c r="P327" i="38"/>
  <c r="O434" i="38"/>
  <c r="N232" i="38"/>
  <c r="N445" i="38"/>
  <c r="O125" i="38"/>
  <c r="O226" i="38"/>
  <c r="P137" i="38"/>
  <c r="P233" i="38"/>
  <c r="P345" i="38"/>
  <c r="N127" i="38"/>
  <c r="N217" i="38"/>
  <c r="N233" i="38"/>
  <c r="N329" i="38"/>
  <c r="N344" i="38"/>
  <c r="O112" i="38"/>
  <c r="O229" i="38"/>
  <c r="O433" i="38"/>
  <c r="P115" i="38"/>
  <c r="P217" i="38"/>
  <c r="P238" i="38"/>
  <c r="P329" i="38"/>
  <c r="N321" i="38"/>
  <c r="P135" i="38"/>
  <c r="P231" i="38"/>
  <c r="N128" i="38"/>
  <c r="N218" i="38"/>
  <c r="N345" i="38"/>
  <c r="P218" i="38"/>
  <c r="P239" i="38"/>
  <c r="P430" i="38"/>
  <c r="N114" i="38"/>
  <c r="N219" i="38"/>
  <c r="N239" i="38"/>
  <c r="O116" i="38"/>
  <c r="O218" i="38"/>
  <c r="O232" i="38"/>
  <c r="P126" i="38"/>
  <c r="P241" i="38"/>
  <c r="P334" i="38"/>
  <c r="P435" i="38"/>
  <c r="N121" i="38"/>
  <c r="N122" i="38"/>
  <c r="N231" i="38"/>
  <c r="N335" i="38"/>
  <c r="N430" i="38"/>
  <c r="O118" i="38"/>
  <c r="O132" i="38"/>
  <c r="O327" i="38"/>
  <c r="P127" i="38"/>
  <c r="P321" i="38"/>
  <c r="O124" i="38"/>
  <c r="N222" i="38"/>
  <c r="N236" i="38"/>
  <c r="N444" i="38"/>
  <c r="O122" i="38"/>
  <c r="P222" i="38"/>
  <c r="P429" i="38"/>
  <c r="N124" i="38"/>
  <c r="N226" i="38"/>
  <c r="O228" i="38"/>
  <c r="O330" i="38"/>
  <c r="P121" i="38"/>
  <c r="P136" i="38"/>
  <c r="P240" i="38"/>
  <c r="P330" i="38"/>
  <c r="P436" i="38"/>
  <c r="N343" i="38"/>
  <c r="N436" i="38"/>
  <c r="O444" i="38"/>
  <c r="P122" i="38"/>
  <c r="N118" i="38"/>
  <c r="O326" i="38"/>
  <c r="P128" i="38"/>
  <c r="P232" i="38"/>
  <c r="O127" i="38"/>
  <c r="O321" i="38"/>
  <c r="O435" i="38"/>
  <c r="N132" i="38"/>
  <c r="N332" i="38"/>
  <c r="N432" i="38"/>
  <c r="O128" i="38"/>
  <c r="O225" i="38"/>
  <c r="O322" i="38"/>
  <c r="P124" i="38"/>
  <c r="P236" i="38"/>
  <c r="P325" i="38"/>
  <c r="P440" i="38"/>
  <c r="P326" i="38"/>
  <c r="P216" i="38"/>
  <c r="O429" i="38"/>
  <c r="P228" i="38"/>
  <c r="O335" i="38"/>
  <c r="N325" i="38"/>
  <c r="N326" i="38"/>
  <c r="O239" i="38"/>
  <c r="P432" i="38"/>
  <c r="O217" i="38"/>
  <c r="P118" i="38"/>
  <c r="P132" i="38"/>
  <c r="N424" i="38"/>
  <c r="P123" i="38"/>
  <c r="P116" i="38"/>
  <c r="P234" i="38"/>
  <c r="P431" i="38"/>
  <c r="P439" i="38"/>
  <c r="P438" i="38"/>
  <c r="P117" i="38"/>
  <c r="P125" i="38"/>
  <c r="P133" i="38"/>
  <c r="P227" i="38"/>
  <c r="P235" i="38"/>
  <c r="P338" i="38"/>
  <c r="P424" i="38"/>
  <c r="P131" i="38"/>
  <c r="P220" i="38"/>
  <c r="P425" i="38"/>
  <c r="P433" i="38"/>
  <c r="P441" i="38"/>
  <c r="O339" i="38"/>
  <c r="O332" i="38"/>
  <c r="O340" i="38"/>
  <c r="O426" i="38"/>
  <c r="O325" i="38"/>
  <c r="O123" i="38"/>
  <c r="O131" i="38"/>
  <c r="O431" i="38"/>
  <c r="O439" i="38"/>
  <c r="O117" i="38"/>
  <c r="O227" i="38"/>
  <c r="O425" i="38"/>
  <c r="N427" i="38"/>
  <c r="N123" i="38"/>
  <c r="N234" i="38"/>
  <c r="N117" i="38"/>
  <c r="N125" i="38"/>
  <c r="N133" i="38"/>
  <c r="N227" i="38"/>
  <c r="N235" i="38"/>
  <c r="N431" i="38"/>
  <c r="N439" i="38"/>
  <c r="N223" i="38"/>
  <c r="N220" i="38"/>
  <c r="N338" i="38"/>
  <c r="N119" i="38"/>
  <c r="N221" i="38"/>
  <c r="N229" i="38"/>
  <c r="N237" i="38"/>
  <c r="N339" i="38"/>
  <c r="N130" i="38"/>
  <c r="N116" i="38"/>
  <c r="I23" i="54"/>
  <c r="L30" i="22"/>
  <c r="I30" i="22"/>
  <c r="L23" i="54"/>
  <c r="B23" i="54"/>
  <c r="M46" i="39"/>
  <c r="C25" i="58" s="1"/>
  <c r="S12" i="39" a="1"/>
  <c r="S12" i="39" s="1"/>
  <c r="H15" i="58"/>
  <c r="C28" i="48"/>
  <c r="C22" i="58"/>
  <c r="L22" i="58" s="1"/>
  <c r="C37" i="48"/>
  <c r="K15" i="58"/>
  <c r="C27" i="58" s="1" a="1"/>
  <c r="C27" i="58" s="1"/>
  <c r="S6" i="39"/>
  <c r="C36" i="58"/>
  <c r="C26" i="58"/>
  <c r="J26" i="58" s="1"/>
  <c r="H22" i="51"/>
  <c r="C23" i="58"/>
  <c r="J23" i="58" s="1"/>
  <c r="K42" i="58"/>
  <c r="K43" i="58" s="1"/>
  <c r="L31" i="58"/>
  <c r="J31" i="58"/>
  <c r="I31" i="58"/>
  <c r="H31" i="58"/>
  <c r="B31" i="58"/>
  <c r="L29" i="58"/>
  <c r="I29" i="58"/>
  <c r="B29" i="58"/>
  <c r="K16" i="58"/>
  <c r="H16" i="58"/>
  <c r="F16" i="58"/>
  <c r="D16" i="58"/>
  <c r="D15" i="58"/>
  <c r="D11" i="58"/>
  <c r="H7" i="58" a="1"/>
  <c r="H7" i="58" s="1"/>
  <c r="H6" i="58" a="1"/>
  <c r="H6" i="58" s="1"/>
  <c r="C4" i="58"/>
  <c r="J2" i="58"/>
  <c r="F16" i="56"/>
  <c r="D16" i="56"/>
  <c r="F16" i="55"/>
  <c r="D16" i="55"/>
  <c r="H15" i="56"/>
  <c r="E34" i="35"/>
  <c r="F34" i="35" s="1"/>
  <c r="S4" i="39" s="1"/>
  <c r="H48" i="22" a="1"/>
  <c r="H48" i="22" s="1"/>
  <c r="H20" i="22"/>
  <c r="H77" i="22" s="1"/>
  <c r="H134" i="22" s="1"/>
  <c r="H191" i="22" s="1"/>
  <c r="H248" i="22" s="1"/>
  <c r="H305" i="22" s="1"/>
  <c r="I20" i="22"/>
  <c r="I77" i="22" s="1"/>
  <c r="I134" i="22" s="1"/>
  <c r="I191" i="22" s="1"/>
  <c r="I248" i="22" s="1"/>
  <c r="I305" i="22" s="1"/>
  <c r="L20" i="22"/>
  <c r="L77" i="22" s="1"/>
  <c r="L134" i="22" s="1"/>
  <c r="L191" i="22" s="1"/>
  <c r="L248" i="22" s="1"/>
  <c r="L305" i="22" s="1"/>
  <c r="H21" i="22"/>
  <c r="H78" i="22" s="1"/>
  <c r="H135" i="22" s="1"/>
  <c r="H192" i="22" s="1"/>
  <c r="H249" i="22" s="1"/>
  <c r="H306" i="22" s="1"/>
  <c r="I21" i="22"/>
  <c r="I78" i="22" s="1"/>
  <c r="I135" i="22" s="1"/>
  <c r="I192" i="22" s="1"/>
  <c r="I249" i="22" s="1"/>
  <c r="I306" i="22" s="1"/>
  <c r="L21" i="22"/>
  <c r="L78" i="22" s="1"/>
  <c r="L135" i="22" s="1"/>
  <c r="L192" i="22" s="1"/>
  <c r="L249" i="22" s="1"/>
  <c r="L306" i="22" s="1"/>
  <c r="H22" i="22"/>
  <c r="H79" i="22" s="1"/>
  <c r="H136" i="22" s="1"/>
  <c r="H193" i="22" s="1"/>
  <c r="H250" i="22" s="1"/>
  <c r="H307" i="22" s="1"/>
  <c r="I22" i="22"/>
  <c r="I79" i="22" s="1"/>
  <c r="I136" i="22" s="1"/>
  <c r="I193" i="22" s="1"/>
  <c r="I250" i="22" s="1"/>
  <c r="I307" i="22" s="1"/>
  <c r="L22" i="22"/>
  <c r="L79" i="22" s="1"/>
  <c r="L136" i="22" s="1"/>
  <c r="L193" i="22" s="1"/>
  <c r="L250" i="22" s="1"/>
  <c r="L307" i="22" s="1"/>
  <c r="H23" i="22"/>
  <c r="H80" i="22" s="1"/>
  <c r="H137" i="22" s="1"/>
  <c r="H194" i="22" s="1"/>
  <c r="H251" i="22" s="1"/>
  <c r="H308" i="22" s="1"/>
  <c r="I23" i="22"/>
  <c r="I80" i="22" s="1"/>
  <c r="I137" i="22" s="1"/>
  <c r="I194" i="22" s="1"/>
  <c r="I251" i="22" s="1"/>
  <c r="I308" i="22" s="1"/>
  <c r="L23" i="22"/>
  <c r="L80" i="22" s="1"/>
  <c r="L137" i="22" s="1"/>
  <c r="L194" i="22" s="1"/>
  <c r="L251" i="22" s="1"/>
  <c r="L308" i="22" s="1"/>
  <c r="H24" i="22"/>
  <c r="H81" i="22" s="1"/>
  <c r="H138" i="22" s="1"/>
  <c r="H195" i="22" s="1"/>
  <c r="H252" i="22" s="1"/>
  <c r="H309" i="22" s="1"/>
  <c r="I24" i="22"/>
  <c r="I81" i="22" s="1"/>
  <c r="I138" i="22" s="1"/>
  <c r="I195" i="22" s="1"/>
  <c r="I252" i="22" s="1"/>
  <c r="I309" i="22" s="1"/>
  <c r="L24" i="22"/>
  <c r="L81" i="22" s="1"/>
  <c r="L138" i="22" s="1"/>
  <c r="L195" i="22" s="1"/>
  <c r="L252" i="22" s="1"/>
  <c r="L309" i="22" s="1"/>
  <c r="H25" i="22"/>
  <c r="H82" i="22" s="1"/>
  <c r="H139" i="22" s="1"/>
  <c r="H196" i="22" s="1"/>
  <c r="H253" i="22" s="1"/>
  <c r="H310" i="22" s="1"/>
  <c r="I25" i="22"/>
  <c r="I82" i="22" s="1"/>
  <c r="I139" i="22" s="1"/>
  <c r="I196" i="22" s="1"/>
  <c r="I253" i="22" s="1"/>
  <c r="I310" i="22" s="1"/>
  <c r="L25" i="22"/>
  <c r="L82" i="22" s="1"/>
  <c r="L139" i="22" s="1"/>
  <c r="L196" i="22" s="1"/>
  <c r="L253" i="22" s="1"/>
  <c r="L310" i="22" s="1"/>
  <c r="H26" i="22"/>
  <c r="H83" i="22" s="1"/>
  <c r="H140" i="22" s="1"/>
  <c r="H197" i="22" s="1"/>
  <c r="H254" i="22" s="1"/>
  <c r="H311" i="22" s="1"/>
  <c r="I26" i="22"/>
  <c r="I83" i="22" s="1"/>
  <c r="I140" i="22" s="1"/>
  <c r="I197" i="22" s="1"/>
  <c r="I254" i="22" s="1"/>
  <c r="I311" i="22" s="1"/>
  <c r="L26" i="22"/>
  <c r="L83" i="22" s="1"/>
  <c r="L140" i="22" s="1"/>
  <c r="L197" i="22" s="1"/>
  <c r="L254" i="22" s="1"/>
  <c r="L311" i="22" s="1"/>
  <c r="H27" i="22"/>
  <c r="H84" i="22" s="1"/>
  <c r="H141" i="22" s="1"/>
  <c r="H198" i="22" s="1"/>
  <c r="H255" i="22" s="1"/>
  <c r="H312" i="22" s="1"/>
  <c r="I27" i="22"/>
  <c r="I84" i="22" s="1"/>
  <c r="I141" i="22" s="1"/>
  <c r="I198" i="22" s="1"/>
  <c r="I255" i="22" s="1"/>
  <c r="I312" i="22" s="1"/>
  <c r="L27" i="22"/>
  <c r="L84" i="22" s="1"/>
  <c r="L141" i="22" s="1"/>
  <c r="L198" i="22" s="1"/>
  <c r="L255" i="22" s="1"/>
  <c r="L312" i="22" s="1"/>
  <c r="H28" i="22"/>
  <c r="H85" i="22" s="1"/>
  <c r="H142" i="22" s="1"/>
  <c r="H199" i="22" s="1"/>
  <c r="H256" i="22" s="1"/>
  <c r="H313" i="22" s="1"/>
  <c r="I28" i="22"/>
  <c r="I85" i="22" s="1"/>
  <c r="I142" i="22" s="1"/>
  <c r="I199" i="22" s="1"/>
  <c r="I256" i="22" s="1"/>
  <c r="I313" i="22" s="1"/>
  <c r="L28" i="22"/>
  <c r="L85" i="22" s="1"/>
  <c r="L142" i="22" s="1"/>
  <c r="L199" i="22" s="1"/>
  <c r="L256" i="22" s="1"/>
  <c r="L313" i="22" s="1"/>
  <c r="C77" i="22"/>
  <c r="C134" i="22" s="1"/>
  <c r="C191" i="22" s="1"/>
  <c r="C248" i="22" s="1"/>
  <c r="C305" i="22" s="1"/>
  <c r="E77" i="22"/>
  <c r="E134" i="22" s="1"/>
  <c r="E191" i="22" s="1"/>
  <c r="E248" i="22" s="1"/>
  <c r="J248" i="22" s="1"/>
  <c r="K248" i="22" s="1"/>
  <c r="C78" i="22"/>
  <c r="C135" i="22" s="1"/>
  <c r="C192" i="22" s="1"/>
  <c r="C249" i="22" s="1"/>
  <c r="C306" i="22" s="1"/>
  <c r="E78" i="22"/>
  <c r="C79" i="22"/>
  <c r="C136" i="22" s="1"/>
  <c r="C193" i="22" s="1"/>
  <c r="C250" i="22" s="1"/>
  <c r="C307" i="22" s="1"/>
  <c r="E79" i="22"/>
  <c r="E136" i="22" s="1"/>
  <c r="E193" i="22" s="1"/>
  <c r="E250" i="22" s="1"/>
  <c r="E307" i="22" s="1"/>
  <c r="C80" i="22"/>
  <c r="C137" i="22" s="1"/>
  <c r="C194" i="22" s="1"/>
  <c r="C251" i="22" s="1"/>
  <c r="C308" i="22" s="1"/>
  <c r="E80" i="22"/>
  <c r="E137" i="22" s="1"/>
  <c r="E194" i="22" s="1"/>
  <c r="C81" i="22"/>
  <c r="C138" i="22" s="1"/>
  <c r="C195" i="22" s="1"/>
  <c r="C252" i="22" s="1"/>
  <c r="C309" i="22" s="1"/>
  <c r="E81" i="22"/>
  <c r="E138" i="22" s="1"/>
  <c r="E195" i="22" s="1"/>
  <c r="E252" i="22" s="1"/>
  <c r="J252" i="22" s="1"/>
  <c r="K252" i="22" s="1"/>
  <c r="C82" i="22"/>
  <c r="C139" i="22" s="1"/>
  <c r="C196" i="22" s="1"/>
  <c r="C253" i="22" s="1"/>
  <c r="C310" i="22" s="1"/>
  <c r="E82" i="22"/>
  <c r="E139" i="22" s="1"/>
  <c r="E196" i="22" s="1"/>
  <c r="E253" i="22" s="1"/>
  <c r="E310" i="22" s="1"/>
  <c r="C83" i="22"/>
  <c r="C140" i="22" s="1"/>
  <c r="C197" i="22" s="1"/>
  <c r="C254" i="22" s="1"/>
  <c r="C311" i="22" s="1"/>
  <c r="E83" i="22"/>
  <c r="E140" i="22" s="1"/>
  <c r="E197" i="22" s="1"/>
  <c r="E254" i="22" s="1"/>
  <c r="E311" i="22" s="1"/>
  <c r="C84" i="22"/>
  <c r="C141" i="22" s="1"/>
  <c r="C198" i="22" s="1"/>
  <c r="C255" i="22" s="1"/>
  <c r="C312" i="22" s="1"/>
  <c r="E84" i="22"/>
  <c r="E141" i="22" s="1"/>
  <c r="E198" i="22" s="1"/>
  <c r="C85" i="22"/>
  <c r="E85" i="22"/>
  <c r="E142" i="22" s="1"/>
  <c r="E199" i="22" s="1"/>
  <c r="E256" i="22" s="1"/>
  <c r="E313" i="22" s="1"/>
  <c r="B27" i="22"/>
  <c r="B84" i="22" s="1"/>
  <c r="B141" i="22" s="1"/>
  <c r="B198" i="22" s="1"/>
  <c r="B255" i="22" s="1"/>
  <c r="B312" i="22" s="1"/>
  <c r="B28" i="22"/>
  <c r="B85" i="22" s="1"/>
  <c r="B142" i="22" s="1"/>
  <c r="B199" i="22" s="1"/>
  <c r="B256" i="22" s="1"/>
  <c r="B313" i="22" s="1"/>
  <c r="B26" i="22"/>
  <c r="B83" i="22" s="1"/>
  <c r="B140" i="22" s="1"/>
  <c r="B197" i="22" s="1"/>
  <c r="B254" i="22" s="1"/>
  <c r="B311" i="22" s="1"/>
  <c r="B25" i="22"/>
  <c r="B82" i="22" s="1"/>
  <c r="B139" i="22" s="1"/>
  <c r="B196" i="22" s="1"/>
  <c r="B253" i="22" s="1"/>
  <c r="B310" i="22" s="1"/>
  <c r="B23" i="22"/>
  <c r="B80" i="22" s="1"/>
  <c r="B137" i="22" s="1"/>
  <c r="B194" i="22" s="1"/>
  <c r="B251" i="22" s="1"/>
  <c r="B308" i="22" s="1"/>
  <c r="B22" i="22"/>
  <c r="B79" i="22" s="1"/>
  <c r="B136" i="22" s="1"/>
  <c r="B193" i="22" s="1"/>
  <c r="B250" i="22" s="1"/>
  <c r="B307" i="22" s="1"/>
  <c r="B21" i="22"/>
  <c r="B78" i="22" s="1"/>
  <c r="B135" i="22" s="1"/>
  <c r="B192" i="22" s="1"/>
  <c r="B249" i="22" s="1"/>
  <c r="B306" i="22" s="1"/>
  <c r="B27" i="57"/>
  <c r="AC7" i="39"/>
  <c r="AC4" i="39"/>
  <c r="C32" i="41" a="1"/>
  <c r="C32" i="41" s="1"/>
  <c r="AJ427" i="38"/>
  <c r="AI427" i="38"/>
  <c r="AH427" i="38"/>
  <c r="AN427" i="38"/>
  <c r="AM427" i="38"/>
  <c r="Y427" i="38"/>
  <c r="X427" i="38"/>
  <c r="V427" i="38"/>
  <c r="T427" i="38"/>
  <c r="S427" i="38"/>
  <c r="Q427" i="38"/>
  <c r="L427" i="38"/>
  <c r="I427" i="38"/>
  <c r="G427" i="38"/>
  <c r="F427" i="38"/>
  <c r="E427" i="38"/>
  <c r="D427" i="38"/>
  <c r="C427" i="38"/>
  <c r="Q327" i="38"/>
  <c r="L327" i="38"/>
  <c r="I327" i="38"/>
  <c r="G327" i="38"/>
  <c r="F327" i="38"/>
  <c r="E327" i="38"/>
  <c r="D327" i="38"/>
  <c r="C327" i="38"/>
  <c r="Q223" i="38"/>
  <c r="L223" i="38"/>
  <c r="I223" i="38"/>
  <c r="G223" i="38"/>
  <c r="F223" i="38"/>
  <c r="E223" i="38"/>
  <c r="D223" i="38"/>
  <c r="C223" i="38"/>
  <c r="Q119" i="38"/>
  <c r="L119" i="38"/>
  <c r="I119" i="38"/>
  <c r="G119" i="38"/>
  <c r="F119" i="38"/>
  <c r="E119" i="38"/>
  <c r="D119" i="38"/>
  <c r="C119" i="38"/>
  <c r="AQ13" i="38"/>
  <c r="AQ119" i="38" s="1"/>
  <c r="AP13" i="38"/>
  <c r="AP119" i="38" s="1"/>
  <c r="AO13" i="38"/>
  <c r="AO119" i="38" s="1"/>
  <c r="AL13" i="38"/>
  <c r="AL119" i="38" s="1"/>
  <c r="AK13" i="38"/>
  <c r="AG13" i="38"/>
  <c r="AG119" i="38" s="1"/>
  <c r="AF13" i="38"/>
  <c r="AF119" i="38" s="1"/>
  <c r="AE13" i="38"/>
  <c r="AE119" i="38" s="1"/>
  <c r="AD13" i="38"/>
  <c r="AD119" i="38" s="1"/>
  <c r="AC13" i="38"/>
  <c r="AC119" i="38" s="1"/>
  <c r="AB13" i="38"/>
  <c r="AB119" i="38" s="1"/>
  <c r="AA13" i="38"/>
  <c r="AA119" i="38" s="1"/>
  <c r="Z13" i="38"/>
  <c r="Z119" i="38" s="1"/>
  <c r="E20" i="54"/>
  <c r="L36" i="57"/>
  <c r="I36" i="57"/>
  <c r="H36" i="57"/>
  <c r="B36" i="57"/>
  <c r="H16" i="57"/>
  <c r="F16" i="57"/>
  <c r="D16" i="57"/>
  <c r="K15" i="57"/>
  <c r="L15" i="57" s="1"/>
  <c r="H15" i="57"/>
  <c r="D15" i="57"/>
  <c r="D11" i="57"/>
  <c r="H7" i="57" a="1"/>
  <c r="H7" i="57" s="1"/>
  <c r="H6" i="57" a="1"/>
  <c r="H6" i="57" s="1"/>
  <c r="C4" i="57"/>
  <c r="J2" i="57"/>
  <c r="F37" i="35"/>
  <c r="S9" i="39" s="1"/>
  <c r="F36" i="35"/>
  <c r="S8" i="39" s="1"/>
  <c r="F35" i="35"/>
  <c r="S7" i="39" s="1"/>
  <c r="J23" i="46"/>
  <c r="J24" i="46"/>
  <c r="J25" i="46"/>
  <c r="J26" i="46"/>
  <c r="F39" i="35"/>
  <c r="S10" i="39" s="1"/>
  <c r="F41" i="35"/>
  <c r="S11" i="39" s="1"/>
  <c r="E135" i="22" l="1"/>
  <c r="E192" i="22" s="1"/>
  <c r="E249" i="22" s="1"/>
  <c r="E306" i="22" s="1"/>
  <c r="J78" i="22"/>
  <c r="C31" i="57" a="1"/>
  <c r="C31" i="57" s="1"/>
  <c r="J31" i="57" s="1"/>
  <c r="AD427" i="38"/>
  <c r="AQ327" i="38"/>
  <c r="AO327" i="38"/>
  <c r="AQ223" i="38"/>
  <c r="AE327" i="38"/>
  <c r="C19" i="58" a="1"/>
  <c r="C19" i="58" s="1"/>
  <c r="H25" i="58" a="1"/>
  <c r="H25" i="58" s="1"/>
  <c r="I25" i="58" s="1" a="1"/>
  <c r="I25" i="58" s="1"/>
  <c r="E25" i="58"/>
  <c r="F25" i="58"/>
  <c r="C34" i="57" a="1"/>
  <c r="C34" i="57" s="1"/>
  <c r="I34" i="57" s="1"/>
  <c r="J311" i="22"/>
  <c r="AA427" i="38"/>
  <c r="AB427" i="38"/>
  <c r="AC427" i="38"/>
  <c r="AP427" i="38"/>
  <c r="AO427" i="38"/>
  <c r="AL427" i="38"/>
  <c r="AQ427" i="38"/>
  <c r="H29" i="58" a="1"/>
  <c r="H29" i="58" s="1"/>
  <c r="K29" i="58" s="1"/>
  <c r="L27" i="58"/>
  <c r="C22" i="46"/>
  <c r="J22" i="46" s="1"/>
  <c r="L36" i="58"/>
  <c r="I36" i="58"/>
  <c r="J36" i="58"/>
  <c r="B36" i="58"/>
  <c r="L26" i="58"/>
  <c r="B26" i="58"/>
  <c r="H26" i="58" a="1"/>
  <c r="H26" i="58" s="1"/>
  <c r="I26" i="58" s="1" a="1"/>
  <c r="I26" i="58" s="1"/>
  <c r="H24" i="58" a="1"/>
  <c r="H24" i="58" s="1"/>
  <c r="I24" i="58" s="1" a="1"/>
  <c r="I24" i="58" s="1"/>
  <c r="K31" i="58"/>
  <c r="J24" i="58"/>
  <c r="B25" i="58"/>
  <c r="L25" i="58"/>
  <c r="B24" i="58"/>
  <c r="L24" i="58"/>
  <c r="B23" i="58"/>
  <c r="L23" i="58"/>
  <c r="B22" i="58"/>
  <c r="J22" i="58"/>
  <c r="L15" i="58"/>
  <c r="H36" i="58" a="1"/>
  <c r="H36" i="58" s="1"/>
  <c r="H22" i="58" a="1"/>
  <c r="H22" i="58" s="1"/>
  <c r="I22" i="58" s="1" a="1"/>
  <c r="I22" i="58" s="1"/>
  <c r="H23" i="58" a="1"/>
  <c r="H23" i="58" s="1"/>
  <c r="I23" i="58" s="1" a="1"/>
  <c r="I23" i="58" s="1"/>
  <c r="E309" i="22"/>
  <c r="J309" i="22" s="1"/>
  <c r="J310" i="22"/>
  <c r="J307" i="22"/>
  <c r="E305" i="22"/>
  <c r="J305" i="22" s="1"/>
  <c r="J198" i="22"/>
  <c r="K198" i="22" s="1"/>
  <c r="J194" i="22"/>
  <c r="K194" i="22" s="1"/>
  <c r="J254" i="22"/>
  <c r="K254" i="22" s="1"/>
  <c r="J253" i="22"/>
  <c r="K253" i="22" s="1"/>
  <c r="J250" i="22"/>
  <c r="K250" i="22" s="1"/>
  <c r="E255" i="22"/>
  <c r="E251" i="22"/>
  <c r="E308" i="22" s="1"/>
  <c r="J308" i="22" s="1"/>
  <c r="J196" i="22"/>
  <c r="K196" i="22" s="1"/>
  <c r="J136" i="22"/>
  <c r="K136" i="22" s="1"/>
  <c r="J193" i="22"/>
  <c r="K193" i="22" s="1"/>
  <c r="J197" i="22"/>
  <c r="K197" i="22" s="1"/>
  <c r="J134" i="22"/>
  <c r="K134" i="22" s="1"/>
  <c r="J195" i="22"/>
  <c r="K195" i="22" s="1"/>
  <c r="J191" i="22"/>
  <c r="K191" i="22" s="1"/>
  <c r="J137" i="22"/>
  <c r="K137" i="22" s="1"/>
  <c r="J139" i="22"/>
  <c r="K139" i="22" s="1"/>
  <c r="J141" i="22"/>
  <c r="K141" i="22" s="1"/>
  <c r="J138" i="22"/>
  <c r="K138" i="22" s="1"/>
  <c r="J140" i="22"/>
  <c r="K140" i="22" s="1"/>
  <c r="J85" i="22"/>
  <c r="C142" i="22"/>
  <c r="J84" i="22"/>
  <c r="K84" i="22" s="1"/>
  <c r="J81" i="22"/>
  <c r="J77" i="22"/>
  <c r="J82" i="22"/>
  <c r="J80" i="22"/>
  <c r="J83" i="22"/>
  <c r="J79" i="22"/>
  <c r="AF327" i="38"/>
  <c r="AG327" i="38"/>
  <c r="AK327" i="38"/>
  <c r="AE427" i="38"/>
  <c r="AP327" i="38"/>
  <c r="AF427" i="38"/>
  <c r="Z327" i="38"/>
  <c r="AG427" i="38"/>
  <c r="AD327" i="38"/>
  <c r="Z427" i="38"/>
  <c r="AK427" i="38"/>
  <c r="AA327" i="38"/>
  <c r="AE223" i="38"/>
  <c r="AB327" i="38"/>
  <c r="AP223" i="38"/>
  <c r="AC327" i="38"/>
  <c r="AL327" i="38"/>
  <c r="AB223" i="38"/>
  <c r="AF223" i="38"/>
  <c r="AG223" i="38"/>
  <c r="Z223" i="38"/>
  <c r="AK223" i="38"/>
  <c r="AA223" i="38"/>
  <c r="AC223" i="38"/>
  <c r="AL223" i="38"/>
  <c r="AD223" i="38"/>
  <c r="AO223" i="38"/>
  <c r="AK119" i="38"/>
  <c r="B30" i="57"/>
  <c r="S5" i="39"/>
  <c r="C21" i="57" s="1"/>
  <c r="K16" i="56"/>
  <c r="J21" i="56" s="1"/>
  <c r="L36" i="56"/>
  <c r="J36" i="56"/>
  <c r="I36" i="56"/>
  <c r="H36" i="56"/>
  <c r="B36" i="56"/>
  <c r="L34" i="56"/>
  <c r="J34" i="56"/>
  <c r="I34" i="56"/>
  <c r="H34" i="56"/>
  <c r="B34" i="56"/>
  <c r="C32" i="56" a="1"/>
  <c r="C32" i="56" s="1"/>
  <c r="L31" i="56"/>
  <c r="J31" i="56"/>
  <c r="I31" i="56"/>
  <c r="H31" i="56"/>
  <c r="B31" i="56"/>
  <c r="B30" i="56"/>
  <c r="L25" i="56"/>
  <c r="I25" i="56"/>
  <c r="H25" i="56"/>
  <c r="B25" i="56"/>
  <c r="L21" i="56"/>
  <c r="I21" i="56"/>
  <c r="H21" i="56"/>
  <c r="B21" i="56"/>
  <c r="D15" i="56"/>
  <c r="D11" i="56"/>
  <c r="H7" i="56" a="1"/>
  <c r="H7" i="56" s="1"/>
  <c r="H6" i="56" a="1"/>
  <c r="H6" i="56" s="1"/>
  <c r="C4" i="56"/>
  <c r="J2" i="56"/>
  <c r="L37" i="55"/>
  <c r="I37" i="55"/>
  <c r="H37" i="55"/>
  <c r="L36" i="55"/>
  <c r="J36" i="55"/>
  <c r="I36" i="55"/>
  <c r="H36" i="55"/>
  <c r="B36" i="55"/>
  <c r="L34" i="55"/>
  <c r="J34" i="55"/>
  <c r="K34" i="55" s="1"/>
  <c r="I34" i="55"/>
  <c r="H34" i="55"/>
  <c r="B34" i="55"/>
  <c r="C32" i="55" a="1"/>
  <c r="C32" i="55" s="1"/>
  <c r="L32" i="55" s="1"/>
  <c r="L31" i="55"/>
  <c r="J31" i="55"/>
  <c r="I31" i="55"/>
  <c r="H31" i="55"/>
  <c r="B31" i="55"/>
  <c r="B30" i="55"/>
  <c r="L25" i="55"/>
  <c r="I25" i="55"/>
  <c r="H25" i="55"/>
  <c r="B25" i="55"/>
  <c r="L21" i="55"/>
  <c r="B21" i="55"/>
  <c r="D15" i="55"/>
  <c r="D11" i="55"/>
  <c r="H7" i="55" a="1"/>
  <c r="H7" i="55" s="1"/>
  <c r="H6" i="55" a="1"/>
  <c r="H6" i="55" s="1"/>
  <c r="C4" i="55"/>
  <c r="J2" i="55"/>
  <c r="Q322" i="38"/>
  <c r="L322" i="38"/>
  <c r="G322" i="38"/>
  <c r="F322" i="38"/>
  <c r="E322" i="38"/>
  <c r="D322" i="38"/>
  <c r="C322" i="38"/>
  <c r="Q218" i="38"/>
  <c r="L218" i="38"/>
  <c r="G218" i="38"/>
  <c r="F218" i="38"/>
  <c r="E218" i="38"/>
  <c r="D218" i="38"/>
  <c r="C218" i="38"/>
  <c r="Q114" i="38"/>
  <c r="L114" i="38"/>
  <c r="G114" i="38"/>
  <c r="F114" i="38"/>
  <c r="E114" i="38"/>
  <c r="D114" i="38"/>
  <c r="C114" i="38"/>
  <c r="AQ8" i="38"/>
  <c r="AQ114" i="38" s="1"/>
  <c r="AP8" i="38"/>
  <c r="AP114" i="38" s="1"/>
  <c r="AO8" i="38"/>
  <c r="AO114" i="38" s="1"/>
  <c r="AL8" i="38"/>
  <c r="AL114" i="38" s="1"/>
  <c r="AK8" i="38"/>
  <c r="AG8" i="38"/>
  <c r="AG114" i="38" s="1"/>
  <c r="AF8" i="38"/>
  <c r="AF114" i="38" s="1"/>
  <c r="AE8" i="38"/>
  <c r="AE114" i="38" s="1"/>
  <c r="AD8" i="38"/>
  <c r="AD114" i="38" s="1"/>
  <c r="AC8" i="38"/>
  <c r="AC114" i="38" s="1"/>
  <c r="AB8" i="38"/>
  <c r="AB114" i="38" s="1"/>
  <c r="AA8" i="38"/>
  <c r="AA114" i="38" s="1"/>
  <c r="Z8" i="38"/>
  <c r="Z114" i="38" s="1"/>
  <c r="K16" i="48"/>
  <c r="AJ443" i="38"/>
  <c r="AI443" i="38"/>
  <c r="AH443" i="38"/>
  <c r="AN443" i="38"/>
  <c r="AM443" i="38"/>
  <c r="Y443" i="38"/>
  <c r="X443" i="38"/>
  <c r="V443" i="38"/>
  <c r="T443" i="38"/>
  <c r="S443" i="38"/>
  <c r="Q443" i="38"/>
  <c r="L443" i="38"/>
  <c r="I443" i="38"/>
  <c r="G443" i="38"/>
  <c r="F443" i="38"/>
  <c r="E443" i="38"/>
  <c r="D443" i="38"/>
  <c r="C443" i="38"/>
  <c r="AJ438" i="38"/>
  <c r="AI438" i="38"/>
  <c r="AH438" i="38"/>
  <c r="AN438" i="38"/>
  <c r="AM438" i="38"/>
  <c r="Y438" i="38"/>
  <c r="X438" i="38"/>
  <c r="V438" i="38"/>
  <c r="T438" i="38"/>
  <c r="S438" i="38"/>
  <c r="Q438" i="38"/>
  <c r="L438" i="38"/>
  <c r="I438" i="38"/>
  <c r="G438" i="38"/>
  <c r="F438" i="38"/>
  <c r="E438" i="38"/>
  <c r="D438" i="38"/>
  <c r="C438" i="38"/>
  <c r="Q343" i="38"/>
  <c r="L343" i="38"/>
  <c r="I343" i="38"/>
  <c r="G343" i="38"/>
  <c r="F343" i="38"/>
  <c r="E343" i="38"/>
  <c r="D343" i="38"/>
  <c r="C343" i="38"/>
  <c r="Q338" i="38"/>
  <c r="L338" i="38"/>
  <c r="I338" i="38"/>
  <c r="G338" i="38"/>
  <c r="F338" i="38"/>
  <c r="E338" i="38"/>
  <c r="D338" i="38"/>
  <c r="C338" i="38"/>
  <c r="Q239" i="38"/>
  <c r="L239" i="38"/>
  <c r="I239" i="38"/>
  <c r="G239" i="38"/>
  <c r="F239" i="38"/>
  <c r="E239" i="38"/>
  <c r="D239" i="38"/>
  <c r="C239" i="38"/>
  <c r="Q234" i="38"/>
  <c r="L234" i="38"/>
  <c r="I234" i="38"/>
  <c r="G234" i="38"/>
  <c r="F234" i="38"/>
  <c r="E234" i="38"/>
  <c r="D234" i="38"/>
  <c r="C234" i="38"/>
  <c r="Q135" i="38"/>
  <c r="L135" i="38"/>
  <c r="I135" i="38"/>
  <c r="G135" i="38"/>
  <c r="F135" i="38"/>
  <c r="E135" i="38"/>
  <c r="D135" i="38"/>
  <c r="C135" i="38"/>
  <c r="Q130" i="38"/>
  <c r="L130" i="38"/>
  <c r="I130" i="38"/>
  <c r="G130" i="38"/>
  <c r="F130" i="38"/>
  <c r="E130" i="38"/>
  <c r="D130" i="38"/>
  <c r="C130" i="38"/>
  <c r="AQ31" i="38"/>
  <c r="AQ135" i="38" s="1"/>
  <c r="AP31" i="38"/>
  <c r="AP135" i="38" s="1"/>
  <c r="AO31" i="38"/>
  <c r="AO135" i="38" s="1"/>
  <c r="AL31" i="38"/>
  <c r="AL135" i="38" s="1"/>
  <c r="AK31" i="38"/>
  <c r="AG31" i="38"/>
  <c r="AG135" i="38" s="1"/>
  <c r="AF31" i="38"/>
  <c r="AF135" i="38" s="1"/>
  <c r="AE31" i="38"/>
  <c r="AE135" i="38" s="1"/>
  <c r="AD31" i="38"/>
  <c r="AD135" i="38" s="1"/>
  <c r="AC31" i="38"/>
  <c r="AC135" i="38" s="1"/>
  <c r="AB31" i="38"/>
  <c r="AB135" i="38" s="1"/>
  <c r="AA31" i="38"/>
  <c r="AA135" i="38" s="1"/>
  <c r="Z31" i="38"/>
  <c r="Z135" i="38" s="1"/>
  <c r="AQ26" i="38"/>
  <c r="AQ130" i="38" s="1"/>
  <c r="AP26" i="38"/>
  <c r="AP130" i="38" s="1"/>
  <c r="AO26" i="38"/>
  <c r="AO130" i="38" s="1"/>
  <c r="AL26" i="38"/>
  <c r="AL130" i="38" s="1"/>
  <c r="AK26" i="38"/>
  <c r="AG26" i="38"/>
  <c r="AG130" i="38" s="1"/>
  <c r="AF26" i="38"/>
  <c r="AF130" i="38" s="1"/>
  <c r="AE26" i="38"/>
  <c r="AE130" i="38" s="1"/>
  <c r="AD26" i="38"/>
  <c r="AD130" i="38" s="1"/>
  <c r="AC26" i="38"/>
  <c r="AC130" i="38" s="1"/>
  <c r="AB26" i="38"/>
  <c r="AB130" i="38" s="1"/>
  <c r="AA26" i="38"/>
  <c r="AA130" i="38" s="1"/>
  <c r="Z26" i="38"/>
  <c r="Z130" i="38" s="1"/>
  <c r="H31" i="57" l="1"/>
  <c r="K31" i="57" s="1"/>
  <c r="C32" i="57" a="1"/>
  <c r="C32" i="57" s="1"/>
  <c r="H32" i="57" s="1"/>
  <c r="I31" i="57"/>
  <c r="J21" i="57"/>
  <c r="I21" i="57"/>
  <c r="K305" i="22"/>
  <c r="J20" i="22" a="1"/>
  <c r="J20" i="22" s="1"/>
  <c r="K20" i="22" s="1"/>
  <c r="K309" i="22"/>
  <c r="J24" i="22" a="1"/>
  <c r="J24" i="22" s="1"/>
  <c r="K24" i="22" s="1"/>
  <c r="K308" i="22"/>
  <c r="J23" i="22" a="1"/>
  <c r="J23" i="22" s="1"/>
  <c r="K311" i="22"/>
  <c r="J26" i="22" a="1"/>
  <c r="J26" i="22" s="1"/>
  <c r="K26" i="22" s="1"/>
  <c r="K307" i="22"/>
  <c r="J22" i="22" a="1"/>
  <c r="J22" i="22" s="1"/>
  <c r="K310" i="22"/>
  <c r="J25" i="22" a="1"/>
  <c r="J25" i="22" s="1"/>
  <c r="K25" i="22" s="1"/>
  <c r="J22" i="48"/>
  <c r="J20" i="48"/>
  <c r="C20" i="58" a="1"/>
  <c r="C20" i="58" s="1"/>
  <c r="C35" i="58" s="1"/>
  <c r="I35" i="58" s="1"/>
  <c r="C34" i="58"/>
  <c r="J25" i="58"/>
  <c r="K25" i="58" s="1"/>
  <c r="J34" i="57"/>
  <c r="L19" i="58"/>
  <c r="J19" i="58"/>
  <c r="I19" i="58"/>
  <c r="B19" i="58"/>
  <c r="H19" i="58"/>
  <c r="K36" i="58"/>
  <c r="H27" i="58" a="1"/>
  <c r="H27" i="58" s="1"/>
  <c r="I27" i="58" s="1" a="1"/>
  <c r="I27" i="58" s="1"/>
  <c r="J27" i="58"/>
  <c r="B27" i="58"/>
  <c r="H22" i="46"/>
  <c r="I22" i="46" s="1" a="1"/>
  <c r="I22" i="46" s="1"/>
  <c r="B22" i="46"/>
  <c r="L22" i="46"/>
  <c r="K26" i="58"/>
  <c r="K24" i="58"/>
  <c r="K22" i="58"/>
  <c r="K23" i="58"/>
  <c r="J255" i="22"/>
  <c r="K255" i="22" s="1"/>
  <c r="E312" i="22"/>
  <c r="J312" i="22" s="1"/>
  <c r="J251" i="22"/>
  <c r="K251" i="22" s="1"/>
  <c r="K85" i="22"/>
  <c r="J142" i="22"/>
  <c r="K142" i="22" s="1"/>
  <c r="C199" i="22"/>
  <c r="K81" i="22"/>
  <c r="K79" i="22"/>
  <c r="K80" i="22"/>
  <c r="K77" i="22"/>
  <c r="K82" i="22"/>
  <c r="K83" i="22"/>
  <c r="K78" i="22"/>
  <c r="K31" i="56"/>
  <c r="K21" i="56"/>
  <c r="K31" i="55"/>
  <c r="L21" i="57"/>
  <c r="C25" i="57"/>
  <c r="H34" i="57"/>
  <c r="L34" i="57"/>
  <c r="B34" i="57"/>
  <c r="AQ322" i="38"/>
  <c r="J25" i="56"/>
  <c r="K36" i="56"/>
  <c r="B32" i="56"/>
  <c r="L32" i="56"/>
  <c r="J32" i="56"/>
  <c r="K34" i="56"/>
  <c r="H32" i="56"/>
  <c r="I32" i="56"/>
  <c r="J37" i="55"/>
  <c r="J25" i="55"/>
  <c r="K25" i="55" s="1"/>
  <c r="K21" i="55"/>
  <c r="H32" i="55"/>
  <c r="J32" i="55"/>
  <c r="I32" i="55"/>
  <c r="K36" i="55"/>
  <c r="B32" i="55"/>
  <c r="AG322" i="38"/>
  <c r="Z218" i="38"/>
  <c r="Z322" i="38"/>
  <c r="AK322" i="38"/>
  <c r="AA218" i="38"/>
  <c r="AA322" i="38"/>
  <c r="AG218" i="38"/>
  <c r="AC322" i="38"/>
  <c r="AL322" i="38"/>
  <c r="AL218" i="38"/>
  <c r="AD322" i="38"/>
  <c r="AO322" i="38"/>
  <c r="AF322" i="38"/>
  <c r="AF218" i="38"/>
  <c r="AB322" i="38"/>
  <c r="AQ218" i="38"/>
  <c r="AE322" i="38"/>
  <c r="AP322" i="38"/>
  <c r="AK218" i="38"/>
  <c r="AB218" i="38"/>
  <c r="AD218" i="38"/>
  <c r="AO218" i="38"/>
  <c r="AC218" i="38"/>
  <c r="AK114" i="38"/>
  <c r="AE218" i="38"/>
  <c r="AP218" i="38"/>
  <c r="AQ443" i="38"/>
  <c r="AF443" i="38"/>
  <c r="AE443" i="38"/>
  <c r="AD443" i="38"/>
  <c r="Z343" i="38"/>
  <c r="AG443" i="38"/>
  <c r="AG343" i="38"/>
  <c r="AD438" i="38"/>
  <c r="Z443" i="38"/>
  <c r="AK443" i="38"/>
  <c r="AE438" i="38"/>
  <c r="AA443" i="38"/>
  <c r="AO443" i="38"/>
  <c r="AF438" i="38"/>
  <c r="AB443" i="38"/>
  <c r="AP443" i="38"/>
  <c r="AC443" i="38"/>
  <c r="AL443" i="38"/>
  <c r="AK343" i="38"/>
  <c r="AG438" i="38"/>
  <c r="Z438" i="38"/>
  <c r="AK438" i="38"/>
  <c r="AA438" i="38"/>
  <c r="AO438" i="38"/>
  <c r="AB438" i="38"/>
  <c r="AP438" i="38"/>
  <c r="AC438" i="38"/>
  <c r="AL438" i="38"/>
  <c r="AQ438" i="38"/>
  <c r="AB338" i="38"/>
  <c r="AA343" i="38"/>
  <c r="AK338" i="38"/>
  <c r="AB343" i="38"/>
  <c r="AC343" i="38"/>
  <c r="AL343" i="38"/>
  <c r="Z338" i="38"/>
  <c r="AL338" i="38"/>
  <c r="AD343" i="38"/>
  <c r="AO343" i="38"/>
  <c r="AE343" i="38"/>
  <c r="AP343" i="38"/>
  <c r="AF343" i="38"/>
  <c r="AQ343" i="38"/>
  <c r="AC338" i="38"/>
  <c r="AG338" i="38"/>
  <c r="AA338" i="38"/>
  <c r="AD338" i="38"/>
  <c r="AO338" i="38"/>
  <c r="AE338" i="38"/>
  <c r="AP338" i="38"/>
  <c r="AF338" i="38"/>
  <c r="AQ338" i="38"/>
  <c r="AG239" i="38"/>
  <c r="Z234" i="38"/>
  <c r="AA239" i="38"/>
  <c r="AG234" i="38"/>
  <c r="AB239" i="38"/>
  <c r="AK239" i="38"/>
  <c r="AK234" i="38"/>
  <c r="AC239" i="38"/>
  <c r="AL239" i="38"/>
  <c r="AP234" i="38"/>
  <c r="AD239" i="38"/>
  <c r="AO239" i="38"/>
  <c r="Z239" i="38"/>
  <c r="AE239" i="38"/>
  <c r="AP239" i="38"/>
  <c r="AF239" i="38"/>
  <c r="AQ239" i="38"/>
  <c r="AA234" i="38"/>
  <c r="AB234" i="38"/>
  <c r="AC234" i="38"/>
  <c r="AL234" i="38"/>
  <c r="AD234" i="38"/>
  <c r="AO234" i="38"/>
  <c r="AE234" i="38"/>
  <c r="AF234" i="38"/>
  <c r="AQ234" i="38"/>
  <c r="AK135" i="38"/>
  <c r="AK130" i="38"/>
  <c r="B40" i="22"/>
  <c r="B39" i="22"/>
  <c r="B38" i="22"/>
  <c r="B37" i="22"/>
  <c r="B36" i="22"/>
  <c r="B35" i="22"/>
  <c r="B34" i="22"/>
  <c r="B33" i="22"/>
  <c r="N3" i="39"/>
  <c r="H7" i="53" a="1"/>
  <c r="H7" i="53" s="1"/>
  <c r="H6" i="53" a="1"/>
  <c r="H6" i="53" s="1"/>
  <c r="H7" i="51" a="1"/>
  <c r="H7" i="51" s="1"/>
  <c r="H6" i="51" a="1"/>
  <c r="H6" i="51" s="1"/>
  <c r="H7" i="48" a="1"/>
  <c r="H7" i="48" s="1"/>
  <c r="H6" i="48" a="1"/>
  <c r="H6" i="48" s="1"/>
  <c r="H7" i="47" a="1"/>
  <c r="H7" i="47" s="1"/>
  <c r="H6" i="47" a="1"/>
  <c r="H6" i="47" s="1"/>
  <c r="H7" i="46" a="1"/>
  <c r="H7" i="46" s="1"/>
  <c r="H6" i="46" a="1"/>
  <c r="H6" i="46" s="1"/>
  <c r="H7" i="41" a="1"/>
  <c r="H7" i="41" s="1"/>
  <c r="H6" i="41" a="1"/>
  <c r="H6" i="41" s="1"/>
  <c r="H7" i="22" a="1"/>
  <c r="H7" i="22" s="1"/>
  <c r="H6" i="22" a="1"/>
  <c r="H6" i="22" s="1"/>
  <c r="H7" i="54" a="1"/>
  <c r="H7" i="54" s="1"/>
  <c r="H57" i="54" s="1"/>
  <c r="H107" i="54" s="1"/>
  <c r="H157" i="54" s="1"/>
  <c r="H207" i="54" s="1"/>
  <c r="H257" i="54" s="1"/>
  <c r="H6" i="54" a="1"/>
  <c r="H6" i="54" s="1"/>
  <c r="H56" i="54" s="1"/>
  <c r="H106" i="54" s="1"/>
  <c r="H156" i="54" s="1"/>
  <c r="H206" i="54" s="1"/>
  <c r="H256" i="54" s="1"/>
  <c r="G3" i="39"/>
  <c r="H15" i="22"/>
  <c r="H15" i="54"/>
  <c r="J65" i="54" s="1"/>
  <c r="J115" i="54" s="1"/>
  <c r="J165" i="54" s="1"/>
  <c r="J215" i="54" s="1"/>
  <c r="J265" i="54" s="1"/>
  <c r="AK33" i="38"/>
  <c r="AK32" i="38"/>
  <c r="AK30" i="38"/>
  <c r="AK29" i="38"/>
  <c r="AK28" i="38"/>
  <c r="AK27" i="38"/>
  <c r="AK25" i="38"/>
  <c r="AK24" i="38"/>
  <c r="AK23" i="38"/>
  <c r="AK22" i="38"/>
  <c r="AK21" i="38"/>
  <c r="AK20" i="38"/>
  <c r="AK19" i="38"/>
  <c r="AK16" i="38"/>
  <c r="AK15" i="38"/>
  <c r="AK14" i="38"/>
  <c r="AK12" i="38"/>
  <c r="AK11" i="38"/>
  <c r="AK10" i="38"/>
  <c r="AK9" i="38"/>
  <c r="AK7" i="38"/>
  <c r="AK6" i="38"/>
  <c r="AK5" i="38"/>
  <c r="L51" i="54"/>
  <c r="J52" i="54"/>
  <c r="C54" i="54"/>
  <c r="C55" i="54"/>
  <c r="C56" i="54"/>
  <c r="C106" i="54" s="1"/>
  <c r="C156" i="54" s="1"/>
  <c r="C206" i="54" s="1"/>
  <c r="C256" i="54" s="1"/>
  <c r="B57" i="54"/>
  <c r="B107" i="54" s="1"/>
  <c r="B157" i="54" s="1"/>
  <c r="B207" i="54" s="1"/>
  <c r="B257" i="54" s="1"/>
  <c r="C57" i="54"/>
  <c r="C107" i="54" s="1"/>
  <c r="C157" i="54" s="1"/>
  <c r="C207" i="54" s="1"/>
  <c r="C257" i="54" s="1"/>
  <c r="E57" i="54"/>
  <c r="E107" i="54" s="1"/>
  <c r="E157" i="54" s="1"/>
  <c r="E207" i="54" s="1"/>
  <c r="E257" i="54" s="1"/>
  <c r="F57" i="54"/>
  <c r="G57" i="54"/>
  <c r="G107" i="54" s="1"/>
  <c r="B58" i="54"/>
  <c r="C58" i="54"/>
  <c r="E58" i="54"/>
  <c r="F58" i="54"/>
  <c r="F108" i="54" s="1"/>
  <c r="F158" i="54" s="1"/>
  <c r="F208" i="54" s="1"/>
  <c r="F258" i="54" s="1"/>
  <c r="G58" i="54"/>
  <c r="M58" i="54"/>
  <c r="M108" i="54" s="1"/>
  <c r="M158" i="54" s="1"/>
  <c r="M208" i="54" s="1"/>
  <c r="M258" i="54" s="1"/>
  <c r="B59" i="54"/>
  <c r="C59" i="54"/>
  <c r="E59" i="54"/>
  <c r="F59" i="54"/>
  <c r="G59" i="54"/>
  <c r="G109" i="54" s="1"/>
  <c r="G159" i="54" s="1"/>
  <c r="G209" i="54" s="1"/>
  <c r="G259" i="54" s="1"/>
  <c r="M59" i="54"/>
  <c r="M109" i="54" s="1"/>
  <c r="M159" i="54" s="1"/>
  <c r="M209" i="54" s="1"/>
  <c r="M259" i="54" s="1"/>
  <c r="B60" i="54"/>
  <c r="B110" i="54" s="1"/>
  <c r="B160" i="54" s="1"/>
  <c r="B210" i="54" s="1"/>
  <c r="B260" i="54" s="1"/>
  <c r="C60" i="54"/>
  <c r="C110" i="54" s="1"/>
  <c r="C160" i="54" s="1"/>
  <c r="C210" i="54" s="1"/>
  <c r="C260" i="54" s="1"/>
  <c r="E60" i="54"/>
  <c r="F60" i="54"/>
  <c r="G60" i="54"/>
  <c r="B61" i="54"/>
  <c r="C61" i="54"/>
  <c r="C111" i="54" s="1"/>
  <c r="C161" i="54" s="1"/>
  <c r="C211" i="54" s="1"/>
  <c r="C261" i="54" s="1"/>
  <c r="E61" i="54"/>
  <c r="E111" i="54" s="1"/>
  <c r="E161" i="54" s="1"/>
  <c r="E211" i="54" s="1"/>
  <c r="E261" i="54" s="1"/>
  <c r="F61" i="54"/>
  <c r="F111" i="54" s="1"/>
  <c r="F161" i="54" s="1"/>
  <c r="F211" i="54" s="1"/>
  <c r="F261" i="54" s="1"/>
  <c r="G61" i="54"/>
  <c r="G111" i="54" s="1"/>
  <c r="G161" i="54" s="1"/>
  <c r="G211" i="54" s="1"/>
  <c r="G261" i="54" s="1"/>
  <c r="H61" i="54"/>
  <c r="I61" i="54"/>
  <c r="J61" i="54"/>
  <c r="K61" i="54"/>
  <c r="K111" i="54" s="1"/>
  <c r="L61" i="54"/>
  <c r="L111" i="54" s="1"/>
  <c r="L161" i="54" s="1"/>
  <c r="L211" i="54" s="1"/>
  <c r="L261" i="54" s="1"/>
  <c r="B62" i="54"/>
  <c r="B112" i="54" s="1"/>
  <c r="B162" i="54" s="1"/>
  <c r="B212" i="54" s="1"/>
  <c r="B262" i="54" s="1"/>
  <c r="C62" i="54"/>
  <c r="C112" i="54" s="1"/>
  <c r="C162" i="54" s="1"/>
  <c r="C212" i="54" s="1"/>
  <c r="C262" i="54" s="1"/>
  <c r="E62" i="54"/>
  <c r="E112" i="54" s="1"/>
  <c r="E162" i="54" s="1"/>
  <c r="E212" i="54" s="1"/>
  <c r="E262" i="54" s="1"/>
  <c r="F62" i="54"/>
  <c r="G62" i="54"/>
  <c r="H62" i="54"/>
  <c r="H112" i="54" s="1"/>
  <c r="I62" i="54"/>
  <c r="J62" i="54"/>
  <c r="K62" i="54"/>
  <c r="K112" i="54" s="1"/>
  <c r="K162" i="54" s="1"/>
  <c r="K212" i="54" s="1"/>
  <c r="K262" i="54" s="1"/>
  <c r="L62" i="54"/>
  <c r="L112" i="54" s="1"/>
  <c r="L162" i="54" s="1"/>
  <c r="L212" i="54" s="1"/>
  <c r="L262" i="54" s="1"/>
  <c r="B63" i="54"/>
  <c r="B113" i="54" s="1"/>
  <c r="B163" i="54" s="1"/>
  <c r="B213" i="54" s="1"/>
  <c r="B263" i="54" s="1"/>
  <c r="C63" i="54"/>
  <c r="D63" i="54"/>
  <c r="E63" i="54"/>
  <c r="E113" i="54" s="1"/>
  <c r="F63" i="54"/>
  <c r="G63" i="54"/>
  <c r="G113" i="54" s="1"/>
  <c r="G163" i="54" s="1"/>
  <c r="G213" i="54" s="1"/>
  <c r="G263" i="54" s="1"/>
  <c r="H63" i="54"/>
  <c r="H113" i="54" s="1"/>
  <c r="H163" i="54" s="1"/>
  <c r="H213" i="54" s="1"/>
  <c r="H263" i="54" s="1"/>
  <c r="I63" i="54"/>
  <c r="I113" i="54" s="1"/>
  <c r="I163" i="54" s="1"/>
  <c r="I213" i="54" s="1"/>
  <c r="I263" i="54" s="1"/>
  <c r="J63" i="54"/>
  <c r="J113" i="54" s="1"/>
  <c r="J163" i="54" s="1"/>
  <c r="J213" i="54" s="1"/>
  <c r="J263" i="54" s="1"/>
  <c r="K63" i="54"/>
  <c r="L63" i="54"/>
  <c r="M63" i="54"/>
  <c r="M113" i="54" s="1"/>
  <c r="B64" i="54"/>
  <c r="B114" i="54" s="1"/>
  <c r="B164" i="54" s="1"/>
  <c r="B214" i="54" s="1"/>
  <c r="B264" i="54" s="1"/>
  <c r="D64" i="54"/>
  <c r="D114" i="54" s="1"/>
  <c r="D164" i="54" s="1"/>
  <c r="D214" i="54" s="1"/>
  <c r="D264" i="54" s="1"/>
  <c r="E64" i="54"/>
  <c r="E114" i="54" s="1"/>
  <c r="E164" i="54" s="1"/>
  <c r="E214" i="54" s="1"/>
  <c r="E264" i="54" s="1"/>
  <c r="F64" i="54"/>
  <c r="F114" i="54" s="1"/>
  <c r="F164" i="54" s="1"/>
  <c r="F214" i="54" s="1"/>
  <c r="F264" i="54" s="1"/>
  <c r="G64" i="54"/>
  <c r="G114" i="54" s="1"/>
  <c r="G164" i="54" s="1"/>
  <c r="G214" i="54" s="1"/>
  <c r="G264" i="54" s="1"/>
  <c r="H64" i="54"/>
  <c r="I64" i="54"/>
  <c r="J64" i="54"/>
  <c r="J114" i="54" s="1"/>
  <c r="K64" i="54"/>
  <c r="L64" i="54"/>
  <c r="M64" i="54"/>
  <c r="M114" i="54" s="1"/>
  <c r="M164" i="54" s="1"/>
  <c r="M214" i="54" s="1"/>
  <c r="M264" i="54" s="1"/>
  <c r="B65" i="54"/>
  <c r="B115" i="54" s="1"/>
  <c r="B165" i="54" s="1"/>
  <c r="B215" i="54" s="1"/>
  <c r="B265" i="54" s="1"/>
  <c r="C65" i="54"/>
  <c r="C115" i="54" s="1"/>
  <c r="C165" i="54" s="1"/>
  <c r="C215" i="54" s="1"/>
  <c r="C265" i="54" s="1"/>
  <c r="E65" i="54"/>
  <c r="F65" i="54"/>
  <c r="F115" i="54" s="1"/>
  <c r="G65" i="54"/>
  <c r="H65" i="54"/>
  <c r="C66" i="54"/>
  <c r="C116" i="54" s="1"/>
  <c r="C166" i="54" s="1"/>
  <c r="C216" i="54" s="1"/>
  <c r="C266" i="54" s="1"/>
  <c r="E66" i="54"/>
  <c r="G66" i="54"/>
  <c r="G116" i="54" s="1"/>
  <c r="G166" i="54" s="1"/>
  <c r="G216" i="54" s="1"/>
  <c r="G266" i="54" s="1"/>
  <c r="I66" i="54"/>
  <c r="I116" i="54" s="1"/>
  <c r="I166" i="54" s="1"/>
  <c r="I216" i="54" s="1"/>
  <c r="I266" i="54" s="1"/>
  <c r="J66" i="54"/>
  <c r="L66" i="54"/>
  <c r="L116" i="54" s="1"/>
  <c r="B67" i="54"/>
  <c r="B117" i="54" s="1"/>
  <c r="B167" i="54" s="1"/>
  <c r="B217" i="54" s="1"/>
  <c r="B267" i="54" s="1"/>
  <c r="C67" i="54"/>
  <c r="C117" i="54" s="1"/>
  <c r="C167" i="54" s="1"/>
  <c r="C217" i="54" s="1"/>
  <c r="C267" i="54" s="1"/>
  <c r="D67" i="54"/>
  <c r="D117" i="54" s="1"/>
  <c r="D167" i="54" s="1"/>
  <c r="D217" i="54" s="1"/>
  <c r="D267" i="54" s="1"/>
  <c r="E67" i="54"/>
  <c r="E117" i="54" s="1"/>
  <c r="E167" i="54" s="1"/>
  <c r="E217" i="54" s="1"/>
  <c r="E267" i="54" s="1"/>
  <c r="F67" i="54"/>
  <c r="F117" i="54" s="1"/>
  <c r="F167" i="54" s="1"/>
  <c r="F217" i="54" s="1"/>
  <c r="F267" i="54" s="1"/>
  <c r="G67" i="54"/>
  <c r="G117" i="54" s="1"/>
  <c r="G167" i="54" s="1"/>
  <c r="G217" i="54" s="1"/>
  <c r="G267" i="54" s="1"/>
  <c r="H67" i="54"/>
  <c r="I67" i="54"/>
  <c r="I117" i="54" s="1"/>
  <c r="I167" i="54" s="1"/>
  <c r="I217" i="54" s="1"/>
  <c r="I267" i="54" s="1"/>
  <c r="L67" i="54"/>
  <c r="C68" i="54"/>
  <c r="C118" i="54" s="1"/>
  <c r="C168" i="54" s="1"/>
  <c r="C218" i="54" s="1"/>
  <c r="C268" i="54" s="1"/>
  <c r="B73" i="54"/>
  <c r="B123" i="54" s="1"/>
  <c r="B173" i="54" s="1"/>
  <c r="B223" i="54" s="1"/>
  <c r="B273" i="54" s="1"/>
  <c r="C73" i="54"/>
  <c r="H73" i="54"/>
  <c r="H123" i="54" s="1"/>
  <c r="H173" i="54" s="1"/>
  <c r="H223" i="54" s="1"/>
  <c r="H273" i="54" s="1"/>
  <c r="I73" i="54"/>
  <c r="I123" i="54" s="1"/>
  <c r="I173" i="54" s="1"/>
  <c r="I223" i="54" s="1"/>
  <c r="I273" i="54" s="1"/>
  <c r="L73" i="54"/>
  <c r="L123" i="54" s="1"/>
  <c r="L173" i="54" s="1"/>
  <c r="L223" i="54" s="1"/>
  <c r="L273" i="54" s="1"/>
  <c r="M73" i="54"/>
  <c r="M123" i="54" s="1"/>
  <c r="M173" i="54" s="1"/>
  <c r="M223" i="54" s="1"/>
  <c r="M273" i="54" s="1"/>
  <c r="B74" i="54"/>
  <c r="B124" i="54" s="1"/>
  <c r="B174" i="54" s="1"/>
  <c r="B224" i="54" s="1"/>
  <c r="B274" i="54" s="1"/>
  <c r="C74" i="54"/>
  <c r="C124" i="54" s="1"/>
  <c r="C174" i="54" s="1"/>
  <c r="C224" i="54" s="1"/>
  <c r="C274" i="54" s="1"/>
  <c r="H74" i="54"/>
  <c r="H124" i="54" s="1"/>
  <c r="H174" i="54" s="1"/>
  <c r="H224" i="54" s="1"/>
  <c r="H274" i="54" s="1"/>
  <c r="I74" i="54"/>
  <c r="I124" i="54" s="1"/>
  <c r="I174" i="54" s="1"/>
  <c r="I224" i="54" s="1"/>
  <c r="I274" i="54" s="1"/>
  <c r="J74" i="54"/>
  <c r="J124" i="54" s="1"/>
  <c r="J174" i="54" s="1"/>
  <c r="J224" i="54" s="1"/>
  <c r="J274" i="54" s="1"/>
  <c r="K74" i="54"/>
  <c r="K124" i="54" s="1"/>
  <c r="K174" i="54" s="1"/>
  <c r="K224" i="54" s="1"/>
  <c r="K274" i="54" s="1"/>
  <c r="L74" i="54"/>
  <c r="L124" i="54" s="1"/>
  <c r="L174" i="54" s="1"/>
  <c r="L224" i="54" s="1"/>
  <c r="L274" i="54" s="1"/>
  <c r="M74" i="54"/>
  <c r="M124" i="54" s="1"/>
  <c r="M174" i="54" s="1"/>
  <c r="M224" i="54" s="1"/>
  <c r="M274" i="54" s="1"/>
  <c r="B75" i="54"/>
  <c r="B125" i="54" s="1"/>
  <c r="B175" i="54" s="1"/>
  <c r="B225" i="54" s="1"/>
  <c r="B275" i="54" s="1"/>
  <c r="C75" i="54"/>
  <c r="C125" i="54" s="1"/>
  <c r="C175" i="54" s="1"/>
  <c r="C225" i="54" s="1"/>
  <c r="C275" i="54" s="1"/>
  <c r="H75" i="54"/>
  <c r="H125" i="54" s="1"/>
  <c r="H175" i="54" s="1"/>
  <c r="H225" i="54" s="1"/>
  <c r="H275" i="54" s="1"/>
  <c r="I75" i="54"/>
  <c r="I125" i="54" s="1"/>
  <c r="I175" i="54" s="1"/>
  <c r="I225" i="54" s="1"/>
  <c r="I275" i="54" s="1"/>
  <c r="L75" i="54"/>
  <c r="L125" i="54" s="1"/>
  <c r="L175" i="54" s="1"/>
  <c r="L225" i="54" s="1"/>
  <c r="L275" i="54" s="1"/>
  <c r="C84" i="54"/>
  <c r="D84" i="54"/>
  <c r="E84" i="54"/>
  <c r="E134" i="54" s="1"/>
  <c r="E184" i="54" s="1"/>
  <c r="E234" i="54" s="1"/>
  <c r="E284" i="54" s="1"/>
  <c r="F84" i="54"/>
  <c r="F134" i="54" s="1"/>
  <c r="F184" i="54" s="1"/>
  <c r="F234" i="54" s="1"/>
  <c r="F284" i="54" s="1"/>
  <c r="G84" i="54"/>
  <c r="G134" i="54" s="1"/>
  <c r="G184" i="54" s="1"/>
  <c r="G234" i="54" s="1"/>
  <c r="G284" i="54" s="1"/>
  <c r="B85" i="54"/>
  <c r="B135" i="54" s="1"/>
  <c r="B185" i="54" s="1"/>
  <c r="B235" i="54" s="1"/>
  <c r="B285" i="54" s="1"/>
  <c r="C85" i="54"/>
  <c r="C135" i="54" s="1"/>
  <c r="C185" i="54" s="1"/>
  <c r="C235" i="54" s="1"/>
  <c r="C285" i="54" s="1"/>
  <c r="H85" i="54"/>
  <c r="I85" i="54"/>
  <c r="I135" i="54" s="1"/>
  <c r="I185" i="54" s="1"/>
  <c r="I235" i="54" s="1"/>
  <c r="I285" i="54" s="1"/>
  <c r="L85" i="54"/>
  <c r="L135" i="54" s="1"/>
  <c r="L185" i="54" s="1"/>
  <c r="L235" i="54" s="1"/>
  <c r="L285" i="54" s="1"/>
  <c r="B88" i="54"/>
  <c r="B138" i="54" s="1"/>
  <c r="B188" i="54" s="1"/>
  <c r="C88" i="54"/>
  <c r="C138" i="54" s="1"/>
  <c r="C188" i="54" s="1"/>
  <c r="C238" i="54" s="1"/>
  <c r="C288" i="54" s="1"/>
  <c r="H88" i="54"/>
  <c r="H138" i="54" s="1"/>
  <c r="H188" i="54" s="1"/>
  <c r="H238" i="54" s="1"/>
  <c r="H288" i="54" s="1"/>
  <c r="I88" i="54"/>
  <c r="I138" i="54" s="1"/>
  <c r="I188" i="54" s="1"/>
  <c r="I238" i="54" s="1"/>
  <c r="I288" i="54" s="1"/>
  <c r="J88" i="54"/>
  <c r="J138" i="54" s="1"/>
  <c r="J188" i="54" s="1"/>
  <c r="J238" i="54" s="1"/>
  <c r="J288" i="54" s="1"/>
  <c r="K88" i="54"/>
  <c r="K138" i="54" s="1"/>
  <c r="K188" i="54" s="1"/>
  <c r="K238" i="54" s="1"/>
  <c r="K288" i="54" s="1"/>
  <c r="L88" i="54"/>
  <c r="L138" i="54" s="1"/>
  <c r="L188" i="54" s="1"/>
  <c r="L238" i="54" s="1"/>
  <c r="L288" i="54" s="1"/>
  <c r="B89" i="54"/>
  <c r="B139" i="54" s="1"/>
  <c r="B189" i="54" s="1"/>
  <c r="B239" i="54" s="1"/>
  <c r="B289" i="54" s="1"/>
  <c r="C89" i="54"/>
  <c r="C139" i="54" s="1"/>
  <c r="C189" i="54" s="1"/>
  <c r="C239" i="54" s="1"/>
  <c r="C289" i="54" s="1"/>
  <c r="L89" i="54"/>
  <c r="L139" i="54" s="1"/>
  <c r="L189" i="54" s="1"/>
  <c r="L239" i="54" s="1"/>
  <c r="L289" i="54" s="1"/>
  <c r="B90" i="54"/>
  <c r="B140" i="54" s="1"/>
  <c r="B190" i="54" s="1"/>
  <c r="B240" i="54" s="1"/>
  <c r="B290" i="54" s="1"/>
  <c r="C90" i="54"/>
  <c r="C140" i="54" s="1"/>
  <c r="C190" i="54" s="1"/>
  <c r="C240" i="54" s="1"/>
  <c r="C290" i="54" s="1"/>
  <c r="D90" i="54"/>
  <c r="D140" i="54" s="1"/>
  <c r="D190" i="54" s="1"/>
  <c r="D240" i="54" s="1"/>
  <c r="D290" i="54" s="1"/>
  <c r="E90" i="54"/>
  <c r="F90" i="54"/>
  <c r="G90" i="54"/>
  <c r="G140" i="54" s="1"/>
  <c r="G190" i="54" s="1"/>
  <c r="H90" i="54"/>
  <c r="H140" i="54" s="1"/>
  <c r="H190" i="54" s="1"/>
  <c r="H240" i="54" s="1"/>
  <c r="H290" i="54" s="1"/>
  <c r="I90" i="54"/>
  <c r="I140" i="54" s="1"/>
  <c r="I190" i="54" s="1"/>
  <c r="I240" i="54" s="1"/>
  <c r="I290" i="54" s="1"/>
  <c r="J90" i="54"/>
  <c r="J140" i="54" s="1"/>
  <c r="J190" i="54" s="1"/>
  <c r="J240" i="54" s="1"/>
  <c r="J290" i="54" s="1"/>
  <c r="K90" i="54"/>
  <c r="K140" i="54" s="1"/>
  <c r="K190" i="54" s="1"/>
  <c r="K240" i="54" s="1"/>
  <c r="K290" i="54" s="1"/>
  <c r="L90" i="54"/>
  <c r="L140" i="54" s="1"/>
  <c r="L190" i="54" s="1"/>
  <c r="L240" i="54" s="1"/>
  <c r="L290" i="54" s="1"/>
  <c r="M90" i="54"/>
  <c r="N90" i="54"/>
  <c r="N140" i="54" s="1"/>
  <c r="N190" i="54" s="1"/>
  <c r="N240" i="54" s="1"/>
  <c r="N290" i="54" s="1"/>
  <c r="B91" i="54"/>
  <c r="B141" i="54" s="1"/>
  <c r="B191" i="54" s="1"/>
  <c r="C91" i="54"/>
  <c r="C141" i="54" s="1"/>
  <c r="C191" i="54" s="1"/>
  <c r="E91" i="54"/>
  <c r="E141" i="54" s="1"/>
  <c r="E191" i="54" s="1"/>
  <c r="E241" i="54" s="1"/>
  <c r="E291" i="54" s="1"/>
  <c r="F91" i="54"/>
  <c r="F141" i="54" s="1"/>
  <c r="F191" i="54" s="1"/>
  <c r="F241" i="54" s="1"/>
  <c r="F291" i="54" s="1"/>
  <c r="G91" i="54"/>
  <c r="G141" i="54" s="1"/>
  <c r="G191" i="54" s="1"/>
  <c r="G241" i="54" s="1"/>
  <c r="G291" i="54" s="1"/>
  <c r="I91" i="54"/>
  <c r="I141" i="54" s="1"/>
  <c r="I191" i="54" s="1"/>
  <c r="I241" i="54" s="1"/>
  <c r="I291" i="54" s="1"/>
  <c r="L91" i="54"/>
  <c r="M91" i="54"/>
  <c r="B92" i="54"/>
  <c r="C92" i="54"/>
  <c r="C142" i="54" s="1"/>
  <c r="D92" i="54"/>
  <c r="D142" i="54" s="1"/>
  <c r="D192" i="54" s="1"/>
  <c r="D242" i="54" s="1"/>
  <c r="D292" i="54" s="1"/>
  <c r="E92" i="54"/>
  <c r="E142" i="54" s="1"/>
  <c r="E192" i="54" s="1"/>
  <c r="E242" i="54" s="1"/>
  <c r="E292" i="54" s="1"/>
  <c r="F92" i="54"/>
  <c r="F142" i="54" s="1"/>
  <c r="F192" i="54" s="1"/>
  <c r="G92" i="54"/>
  <c r="G142" i="54" s="1"/>
  <c r="G192" i="54" s="1"/>
  <c r="H92" i="54"/>
  <c r="L92" i="54"/>
  <c r="M92" i="54"/>
  <c r="M142" i="54" s="1"/>
  <c r="N92" i="54"/>
  <c r="N142" i="54" s="1"/>
  <c r="N192" i="54" s="1"/>
  <c r="N242" i="54" s="1"/>
  <c r="N292" i="54" s="1"/>
  <c r="L101" i="54"/>
  <c r="J102" i="54"/>
  <c r="C104" i="54"/>
  <c r="C105" i="54"/>
  <c r="C155" i="54" s="1"/>
  <c r="C205" i="54" s="1"/>
  <c r="C255" i="54" s="1"/>
  <c r="F107" i="54"/>
  <c r="F157" i="54" s="1"/>
  <c r="F207" i="54" s="1"/>
  <c r="F257" i="54" s="1"/>
  <c r="B108" i="54"/>
  <c r="C108" i="54"/>
  <c r="C158" i="54" s="1"/>
  <c r="C208" i="54" s="1"/>
  <c r="C258" i="54" s="1"/>
  <c r="E108" i="54"/>
  <c r="E158" i="54" s="1"/>
  <c r="E208" i="54" s="1"/>
  <c r="E258" i="54" s="1"/>
  <c r="G108" i="54"/>
  <c r="G158" i="54" s="1"/>
  <c r="G208" i="54" s="1"/>
  <c r="G258" i="54" s="1"/>
  <c r="B109" i="54"/>
  <c r="B159" i="54" s="1"/>
  <c r="B209" i="54" s="1"/>
  <c r="B259" i="54" s="1"/>
  <c r="C109" i="54"/>
  <c r="C159" i="54" s="1"/>
  <c r="C209" i="54" s="1"/>
  <c r="C259" i="54" s="1"/>
  <c r="E109" i="54"/>
  <c r="E159" i="54" s="1"/>
  <c r="E209" i="54" s="1"/>
  <c r="E259" i="54" s="1"/>
  <c r="F109" i="54"/>
  <c r="F159" i="54" s="1"/>
  <c r="F209" i="54" s="1"/>
  <c r="F259" i="54" s="1"/>
  <c r="E110" i="54"/>
  <c r="E160" i="54" s="1"/>
  <c r="E210" i="54" s="1"/>
  <c r="E260" i="54" s="1"/>
  <c r="F110" i="54"/>
  <c r="F160" i="54" s="1"/>
  <c r="F210" i="54" s="1"/>
  <c r="F260" i="54" s="1"/>
  <c r="G110" i="54"/>
  <c r="G160" i="54" s="1"/>
  <c r="B111" i="54"/>
  <c r="B161" i="54" s="1"/>
  <c r="B211" i="54" s="1"/>
  <c r="B261" i="54" s="1"/>
  <c r="H111" i="54"/>
  <c r="H161" i="54" s="1"/>
  <c r="H211" i="54" s="1"/>
  <c r="H261" i="54" s="1"/>
  <c r="I111" i="54"/>
  <c r="I161" i="54" s="1"/>
  <c r="I211" i="54" s="1"/>
  <c r="I261" i="54" s="1"/>
  <c r="J111" i="54"/>
  <c r="J161" i="54" s="1"/>
  <c r="J211" i="54" s="1"/>
  <c r="J261" i="54" s="1"/>
  <c r="F112" i="54"/>
  <c r="F162" i="54" s="1"/>
  <c r="F212" i="54" s="1"/>
  <c r="F262" i="54" s="1"/>
  <c r="G112" i="54"/>
  <c r="I112" i="54"/>
  <c r="I162" i="54" s="1"/>
  <c r="I212" i="54" s="1"/>
  <c r="I262" i="54" s="1"/>
  <c r="J112" i="54"/>
  <c r="J162" i="54" s="1"/>
  <c r="J212" i="54" s="1"/>
  <c r="J262" i="54" s="1"/>
  <c r="C113" i="54"/>
  <c r="C163" i="54" s="1"/>
  <c r="C213" i="54" s="1"/>
  <c r="C263" i="54" s="1"/>
  <c r="D113" i="54"/>
  <c r="F113" i="54"/>
  <c r="F163" i="54" s="1"/>
  <c r="F213" i="54" s="1"/>
  <c r="F263" i="54" s="1"/>
  <c r="K113" i="54"/>
  <c r="K163" i="54" s="1"/>
  <c r="K213" i="54" s="1"/>
  <c r="K263" i="54" s="1"/>
  <c r="L113" i="54"/>
  <c r="L163" i="54" s="1"/>
  <c r="L213" i="54" s="1"/>
  <c r="L263" i="54" s="1"/>
  <c r="H114" i="54"/>
  <c r="H164" i="54" s="1"/>
  <c r="H214" i="54" s="1"/>
  <c r="H264" i="54" s="1"/>
  <c r="I114" i="54"/>
  <c r="I164" i="54" s="1"/>
  <c r="I214" i="54" s="1"/>
  <c r="I264" i="54" s="1"/>
  <c r="K114" i="54"/>
  <c r="K164" i="54" s="1"/>
  <c r="K214" i="54" s="1"/>
  <c r="K264" i="54" s="1"/>
  <c r="L114" i="54"/>
  <c r="L164" i="54" s="1"/>
  <c r="L214" i="54" s="1"/>
  <c r="L264" i="54" s="1"/>
  <c r="E115" i="54"/>
  <c r="E165" i="54" s="1"/>
  <c r="E215" i="54" s="1"/>
  <c r="E265" i="54" s="1"/>
  <c r="G115" i="54"/>
  <c r="G165" i="54" s="1"/>
  <c r="H115" i="54"/>
  <c r="H165" i="54" s="1"/>
  <c r="H215" i="54" s="1"/>
  <c r="H265" i="54" s="1"/>
  <c r="E116" i="54"/>
  <c r="E166" i="54" s="1"/>
  <c r="E216" i="54" s="1"/>
  <c r="E266" i="54" s="1"/>
  <c r="J116" i="54"/>
  <c r="J166" i="54" s="1"/>
  <c r="J216" i="54" s="1"/>
  <c r="J266" i="54" s="1"/>
  <c r="H117" i="54"/>
  <c r="H167" i="54" s="1"/>
  <c r="H217" i="54" s="1"/>
  <c r="H267" i="54" s="1"/>
  <c r="L117" i="54"/>
  <c r="L167" i="54" s="1"/>
  <c r="L217" i="54" s="1"/>
  <c r="L267" i="54" s="1"/>
  <c r="F118" i="54"/>
  <c r="F168" i="54" s="1"/>
  <c r="G118" i="54"/>
  <c r="G168" i="54" s="1"/>
  <c r="F122" i="54"/>
  <c r="G122" i="54"/>
  <c r="F123" i="54"/>
  <c r="F173" i="54" s="1"/>
  <c r="G123" i="54"/>
  <c r="G173" i="54" s="1"/>
  <c r="F124" i="54"/>
  <c r="G124" i="54"/>
  <c r="C134" i="54"/>
  <c r="D134" i="54"/>
  <c r="D184" i="54" s="1"/>
  <c r="D234" i="54" s="1"/>
  <c r="D284" i="54" s="1"/>
  <c r="H135" i="54"/>
  <c r="H185" i="54" s="1"/>
  <c r="H235" i="54" s="1"/>
  <c r="H285" i="54" s="1"/>
  <c r="E140" i="54"/>
  <c r="E190" i="54" s="1"/>
  <c r="E240" i="54" s="1"/>
  <c r="E290" i="54" s="1"/>
  <c r="F140" i="54"/>
  <c r="F190" i="54" s="1"/>
  <c r="F240" i="54" s="1"/>
  <c r="F290" i="54" s="1"/>
  <c r="M140" i="54"/>
  <c r="M190" i="54" s="1"/>
  <c r="M240" i="54" s="1"/>
  <c r="M290" i="54" s="1"/>
  <c r="L141" i="54"/>
  <c r="L191" i="54" s="1"/>
  <c r="L241" i="54" s="1"/>
  <c r="L291" i="54" s="1"/>
  <c r="M141" i="54"/>
  <c r="B142" i="54"/>
  <c r="B192" i="54" s="1"/>
  <c r="B242" i="54" s="1"/>
  <c r="B292" i="54" s="1"/>
  <c r="H142" i="54"/>
  <c r="H192" i="54" s="1"/>
  <c r="H242" i="54" s="1"/>
  <c r="H292" i="54" s="1"/>
  <c r="L142" i="54"/>
  <c r="L192" i="54" s="1"/>
  <c r="L242" i="54" s="1"/>
  <c r="L292" i="54" s="1"/>
  <c r="L151" i="54"/>
  <c r="J152" i="54"/>
  <c r="C154" i="54"/>
  <c r="G157" i="54"/>
  <c r="G207" i="54" s="1"/>
  <c r="G257" i="54" s="1"/>
  <c r="B158" i="54"/>
  <c r="B208" i="54" s="1"/>
  <c r="B258" i="54" s="1"/>
  <c r="K161" i="54"/>
  <c r="K211" i="54" s="1"/>
  <c r="G162" i="54"/>
  <c r="G212" i="54" s="1"/>
  <c r="G262" i="54" s="1"/>
  <c r="H162" i="54"/>
  <c r="H212" i="54" s="1"/>
  <c r="H262" i="54" s="1"/>
  <c r="D163" i="54"/>
  <c r="D213" i="54" s="1"/>
  <c r="D263" i="54" s="1"/>
  <c r="E163" i="54"/>
  <c r="E213" i="54" s="1"/>
  <c r="E263" i="54" s="1"/>
  <c r="M163" i="54"/>
  <c r="M213" i="54" s="1"/>
  <c r="M263" i="54" s="1"/>
  <c r="J164" i="54"/>
  <c r="J214" i="54" s="1"/>
  <c r="J264" i="54" s="1"/>
  <c r="F165" i="54"/>
  <c r="L166" i="54"/>
  <c r="L216" i="54" s="1"/>
  <c r="L266" i="54" s="1"/>
  <c r="C184" i="54"/>
  <c r="C234" i="54" s="1"/>
  <c r="C284" i="54" s="1"/>
  <c r="M191" i="54"/>
  <c r="M241" i="54" s="1"/>
  <c r="M291" i="54" s="1"/>
  <c r="C192" i="54"/>
  <c r="C242" i="54" s="1"/>
  <c r="C292" i="54" s="1"/>
  <c r="M192" i="54"/>
  <c r="M242" i="54" s="1"/>
  <c r="L201" i="54"/>
  <c r="J202" i="54"/>
  <c r="C204" i="54"/>
  <c r="G210" i="54"/>
  <c r="G260" i="54" s="1"/>
  <c r="F215" i="54"/>
  <c r="F265" i="54" s="1"/>
  <c r="G215" i="54"/>
  <c r="G265" i="54" s="1"/>
  <c r="B238" i="54"/>
  <c r="B288" i="54" s="1"/>
  <c r="G240" i="54"/>
  <c r="G290" i="54" s="1"/>
  <c r="B241" i="54"/>
  <c r="B291" i="54" s="1"/>
  <c r="C241" i="54"/>
  <c r="C291" i="54" s="1"/>
  <c r="F242" i="54"/>
  <c r="F292" i="54" s="1"/>
  <c r="G242" i="54"/>
  <c r="G292" i="54" s="1"/>
  <c r="L251" i="54"/>
  <c r="J252" i="54"/>
  <c r="C254" i="54"/>
  <c r="K261" i="54"/>
  <c r="M292" i="54"/>
  <c r="B30" i="54"/>
  <c r="B31" i="54"/>
  <c r="B32" i="54"/>
  <c r="C26" i="54"/>
  <c r="E21" i="54"/>
  <c r="C21" i="54" s="1"/>
  <c r="C71" i="54" s="1"/>
  <c r="C121" i="54" s="1"/>
  <c r="C171" i="54" s="1"/>
  <c r="C221" i="54" s="1"/>
  <c r="C271" i="54" s="1"/>
  <c r="C22" i="54"/>
  <c r="E19" i="54"/>
  <c r="L84" i="54"/>
  <c r="L134" i="54" s="1"/>
  <c r="L184" i="54" s="1"/>
  <c r="L234" i="54" s="1"/>
  <c r="L284" i="54" s="1"/>
  <c r="I84" i="54"/>
  <c r="I134" i="54" s="1"/>
  <c r="I184" i="54" s="1"/>
  <c r="I234" i="54" s="1"/>
  <c r="I284" i="54" s="1"/>
  <c r="H84" i="54"/>
  <c r="H134" i="54" s="1"/>
  <c r="H184" i="54" s="1"/>
  <c r="H234" i="54" s="1"/>
  <c r="H284" i="54" s="1"/>
  <c r="B84" i="54"/>
  <c r="B134" i="54" s="1"/>
  <c r="B184" i="54" s="1"/>
  <c r="B234" i="54" s="1"/>
  <c r="B284" i="54" s="1"/>
  <c r="L18" i="54"/>
  <c r="L68" i="54" s="1"/>
  <c r="L118" i="54" s="1"/>
  <c r="L168" i="54" s="1"/>
  <c r="L218" i="54" s="1"/>
  <c r="L268" i="54" s="1"/>
  <c r="I18" i="54"/>
  <c r="I68" i="54" s="1"/>
  <c r="I118" i="54" s="1"/>
  <c r="I168" i="54" s="1"/>
  <c r="I218" i="54" s="1"/>
  <c r="I268" i="54" s="1"/>
  <c r="H18" i="54"/>
  <c r="H68" i="54" s="1"/>
  <c r="H118" i="54" s="1"/>
  <c r="H168" i="54" s="1"/>
  <c r="H218" i="54" s="1"/>
  <c r="H268" i="54" s="1"/>
  <c r="B18" i="54"/>
  <c r="B68" i="54" s="1"/>
  <c r="B118" i="54" s="1"/>
  <c r="B168" i="54" s="1"/>
  <c r="B218" i="54" s="1"/>
  <c r="B268" i="54" s="1"/>
  <c r="K16" i="54"/>
  <c r="H16" i="54"/>
  <c r="H66" i="54" s="1"/>
  <c r="H116" i="54" s="1"/>
  <c r="H166" i="54" s="1"/>
  <c r="H216" i="54" s="1"/>
  <c r="H266" i="54" s="1"/>
  <c r="F16" i="54"/>
  <c r="F66" i="54" s="1"/>
  <c r="F116" i="54" s="1"/>
  <c r="F166" i="54" s="1"/>
  <c r="F216" i="54" s="1"/>
  <c r="F266" i="54" s="1"/>
  <c r="D16" i="54"/>
  <c r="D66" i="54" s="1"/>
  <c r="D116" i="54" s="1"/>
  <c r="D166" i="54" s="1"/>
  <c r="D216" i="54" s="1"/>
  <c r="D266" i="54" s="1"/>
  <c r="K15" i="54"/>
  <c r="C36" i="54" s="1" a="1"/>
  <c r="C36" i="54" s="1"/>
  <c r="D15" i="54"/>
  <c r="D11" i="54"/>
  <c r="D61" i="54" s="1"/>
  <c r="D111" i="54" s="1"/>
  <c r="D161" i="54" s="1"/>
  <c r="D211" i="54" s="1"/>
  <c r="D261" i="54" s="1"/>
  <c r="C4" i="54"/>
  <c r="J2" i="54"/>
  <c r="H16" i="48"/>
  <c r="F16" i="48"/>
  <c r="D16" i="48"/>
  <c r="L286" i="22"/>
  <c r="L229" i="22"/>
  <c r="C289" i="22"/>
  <c r="J287" i="22"/>
  <c r="B7" i="39"/>
  <c r="B6" i="39"/>
  <c r="AJ445" i="38"/>
  <c r="AI445" i="38"/>
  <c r="AH445" i="38"/>
  <c r="AN445" i="38"/>
  <c r="AM445" i="38"/>
  <c r="AJ444" i="38"/>
  <c r="AI444" i="38"/>
  <c r="AH444" i="38"/>
  <c r="AN444" i="38"/>
  <c r="AM444" i="38"/>
  <c r="AJ442" i="38"/>
  <c r="AI442" i="38"/>
  <c r="AH442" i="38"/>
  <c r="AN442" i="38"/>
  <c r="AM442" i="38"/>
  <c r="AJ441" i="38"/>
  <c r="AI441" i="38"/>
  <c r="AH441" i="38"/>
  <c r="AN441" i="38"/>
  <c r="AM441" i="38"/>
  <c r="AJ440" i="38"/>
  <c r="AI440" i="38"/>
  <c r="AH440" i="38"/>
  <c r="AN440" i="38"/>
  <c r="AM440" i="38"/>
  <c r="AJ439" i="38"/>
  <c r="AI439" i="38"/>
  <c r="AH439" i="38"/>
  <c r="AN439" i="38"/>
  <c r="AM439" i="38"/>
  <c r="AJ437" i="38"/>
  <c r="AI437" i="38"/>
  <c r="AH437" i="38"/>
  <c r="AN437" i="38"/>
  <c r="AM437" i="38"/>
  <c r="AJ436" i="38"/>
  <c r="AI436" i="38"/>
  <c r="AH436" i="38"/>
  <c r="AN436" i="38"/>
  <c r="AM436" i="38"/>
  <c r="AJ435" i="38"/>
  <c r="AI435" i="38"/>
  <c r="AH435" i="38"/>
  <c r="AN435" i="38"/>
  <c r="AM435" i="38"/>
  <c r="AJ434" i="38"/>
  <c r="AI434" i="38"/>
  <c r="AH434" i="38"/>
  <c r="AN434" i="38"/>
  <c r="AM434" i="38"/>
  <c r="AJ433" i="38"/>
  <c r="AI433" i="38"/>
  <c r="AH433" i="38"/>
  <c r="AN433" i="38"/>
  <c r="AM433" i="38"/>
  <c r="AJ432" i="38"/>
  <c r="AI432" i="38"/>
  <c r="AH432" i="38"/>
  <c r="AN432" i="38"/>
  <c r="AM432" i="38"/>
  <c r="AJ431" i="38"/>
  <c r="AI431" i="38"/>
  <c r="AH431" i="38"/>
  <c r="AN431" i="38"/>
  <c r="AM431" i="38"/>
  <c r="AJ430" i="38"/>
  <c r="AI430" i="38"/>
  <c r="AH430" i="38"/>
  <c r="AN430" i="38"/>
  <c r="AM430" i="38"/>
  <c r="AJ429" i="38"/>
  <c r="AI429" i="38"/>
  <c r="AH429" i="38"/>
  <c r="AN429" i="38"/>
  <c r="AM429" i="38"/>
  <c r="AJ428" i="38"/>
  <c r="AI428" i="38"/>
  <c r="AH428" i="38"/>
  <c r="AN428" i="38"/>
  <c r="AM428" i="38"/>
  <c r="AJ426" i="38"/>
  <c r="AI426" i="38"/>
  <c r="AH426" i="38"/>
  <c r="AN426" i="38"/>
  <c r="AM426" i="38"/>
  <c r="AJ425" i="38"/>
  <c r="AI425" i="38"/>
  <c r="AH425" i="38"/>
  <c r="AN425" i="38"/>
  <c r="AM425" i="38"/>
  <c r="AJ424" i="38"/>
  <c r="AI424" i="38"/>
  <c r="AH424" i="38"/>
  <c r="AN424" i="38"/>
  <c r="AM424" i="38"/>
  <c r="AJ423" i="38"/>
  <c r="AI423" i="38"/>
  <c r="AH423" i="38"/>
  <c r="AN423" i="38"/>
  <c r="AM423" i="38"/>
  <c r="AJ422" i="38"/>
  <c r="AI422" i="38"/>
  <c r="AH422" i="38"/>
  <c r="AN422" i="38"/>
  <c r="AM422" i="38"/>
  <c r="X425" i="38"/>
  <c r="Y425" i="38"/>
  <c r="X426" i="38"/>
  <c r="Y426" i="38"/>
  <c r="X428" i="38"/>
  <c r="Y428" i="38"/>
  <c r="X429" i="38"/>
  <c r="Y429" i="38"/>
  <c r="X430" i="38"/>
  <c r="Y430" i="38"/>
  <c r="X431" i="38"/>
  <c r="Y431" i="38"/>
  <c r="X432" i="38"/>
  <c r="Y432" i="38"/>
  <c r="X433" i="38"/>
  <c r="Y433" i="38"/>
  <c r="X434" i="38"/>
  <c r="Y434" i="38"/>
  <c r="X435" i="38"/>
  <c r="Y435" i="38"/>
  <c r="X436" i="38"/>
  <c r="Y436" i="38"/>
  <c r="X437" i="38"/>
  <c r="Y437" i="38"/>
  <c r="X439" i="38"/>
  <c r="Y439" i="38"/>
  <c r="X440" i="38"/>
  <c r="Y440" i="38"/>
  <c r="X441" i="38"/>
  <c r="Y441" i="38"/>
  <c r="X442" i="38"/>
  <c r="Y442" i="38"/>
  <c r="X444" i="38"/>
  <c r="Y444" i="38"/>
  <c r="X445" i="38"/>
  <c r="Y445" i="38"/>
  <c r="X424" i="38"/>
  <c r="Y424" i="38"/>
  <c r="Q345" i="38"/>
  <c r="Q344" i="38"/>
  <c r="Q342" i="38"/>
  <c r="Q341" i="38"/>
  <c r="Q340" i="38"/>
  <c r="Q339" i="38"/>
  <c r="Q337" i="38"/>
  <c r="Q336" i="38"/>
  <c r="Q335" i="38"/>
  <c r="Q334" i="38"/>
  <c r="Q333" i="38"/>
  <c r="Q332" i="38"/>
  <c r="Q331" i="38"/>
  <c r="Q330" i="38"/>
  <c r="Q329" i="38"/>
  <c r="Q328" i="38"/>
  <c r="Q326" i="38"/>
  <c r="Q325" i="38"/>
  <c r="Q324" i="38"/>
  <c r="Q323" i="38"/>
  <c r="Q321" i="38"/>
  <c r="Q320" i="38"/>
  <c r="L345" i="38"/>
  <c r="L344" i="38"/>
  <c r="L342" i="38"/>
  <c r="L341" i="38"/>
  <c r="L340" i="38"/>
  <c r="L339" i="38"/>
  <c r="L337" i="38"/>
  <c r="L336" i="38"/>
  <c r="L335" i="38"/>
  <c r="L334" i="38"/>
  <c r="L333" i="38"/>
  <c r="L332" i="38"/>
  <c r="L331" i="38"/>
  <c r="L330" i="38"/>
  <c r="L329" i="38"/>
  <c r="L328" i="38"/>
  <c r="L326" i="38"/>
  <c r="L325" i="38"/>
  <c r="L324" i="38"/>
  <c r="L323" i="38"/>
  <c r="L321" i="38"/>
  <c r="L320" i="38"/>
  <c r="L319" i="38"/>
  <c r="L318" i="38"/>
  <c r="I345" i="38"/>
  <c r="I344" i="38"/>
  <c r="I342" i="38"/>
  <c r="I341" i="38"/>
  <c r="I340" i="38"/>
  <c r="I339" i="38"/>
  <c r="I337" i="38"/>
  <c r="I336" i="38"/>
  <c r="I335" i="38"/>
  <c r="I334" i="38"/>
  <c r="I333" i="38"/>
  <c r="I332" i="38"/>
  <c r="I331" i="38"/>
  <c r="I330" i="38"/>
  <c r="I329" i="38"/>
  <c r="I328" i="38"/>
  <c r="J249" i="22" s="1"/>
  <c r="K249" i="22" s="1"/>
  <c r="I326" i="38"/>
  <c r="I325" i="38"/>
  <c r="I324" i="38"/>
  <c r="Q445" i="38"/>
  <c r="Q444" i="38"/>
  <c r="Q442" i="38"/>
  <c r="Q441" i="38"/>
  <c r="Q440" i="38"/>
  <c r="Q439" i="38"/>
  <c r="Q437" i="38"/>
  <c r="Q436" i="38"/>
  <c r="Q435" i="38"/>
  <c r="Q434" i="38"/>
  <c r="Q433" i="38"/>
  <c r="Q432" i="38"/>
  <c r="Q431" i="38"/>
  <c r="Q430" i="38"/>
  <c r="Q429" i="38"/>
  <c r="Q428" i="38"/>
  <c r="Q426" i="38"/>
  <c r="Q425" i="38"/>
  <c r="Q424" i="38"/>
  <c r="L445" i="38"/>
  <c r="L444" i="38"/>
  <c r="L442" i="38"/>
  <c r="L441" i="38"/>
  <c r="L440" i="38"/>
  <c r="L439" i="38"/>
  <c r="L437" i="38"/>
  <c r="L436" i="38"/>
  <c r="L435" i="38"/>
  <c r="L434" i="38"/>
  <c r="L433" i="38"/>
  <c r="L432" i="38"/>
  <c r="L431" i="38"/>
  <c r="L430" i="38"/>
  <c r="L429" i="38"/>
  <c r="L428" i="38"/>
  <c r="L426" i="38"/>
  <c r="L425" i="38"/>
  <c r="L424" i="38"/>
  <c r="L423" i="38"/>
  <c r="L422" i="38"/>
  <c r="L110" i="38"/>
  <c r="L111" i="38"/>
  <c r="L112" i="38"/>
  <c r="L113" i="38"/>
  <c r="L115" i="38"/>
  <c r="L116" i="38"/>
  <c r="L117" i="38"/>
  <c r="L118" i="38"/>
  <c r="L120" i="38"/>
  <c r="L121" i="38"/>
  <c r="L122" i="38"/>
  <c r="L123" i="38"/>
  <c r="L124" i="38"/>
  <c r="L125" i="38"/>
  <c r="L126" i="38"/>
  <c r="L127" i="38"/>
  <c r="L128" i="38"/>
  <c r="L129" i="38"/>
  <c r="L131" i="38"/>
  <c r="L132" i="38"/>
  <c r="L133" i="38"/>
  <c r="L134" i="38"/>
  <c r="L136" i="38"/>
  <c r="L137" i="38"/>
  <c r="Q112" i="38"/>
  <c r="Q113" i="38"/>
  <c r="Q115" i="38"/>
  <c r="Q116" i="38"/>
  <c r="Q117" i="38"/>
  <c r="Q118" i="38"/>
  <c r="Q120" i="38"/>
  <c r="Q121" i="38"/>
  <c r="Q122" i="38"/>
  <c r="Q123" i="38"/>
  <c r="Q124" i="38"/>
  <c r="Q125" i="38"/>
  <c r="Q126" i="38"/>
  <c r="Q127" i="38"/>
  <c r="Q128" i="38"/>
  <c r="Q129" i="38"/>
  <c r="Q131" i="38"/>
  <c r="Q132" i="38"/>
  <c r="Q133" i="38"/>
  <c r="Q134" i="38"/>
  <c r="Q136" i="38"/>
  <c r="Q137" i="38"/>
  <c r="G345" i="38"/>
  <c r="F345" i="38"/>
  <c r="E345" i="38"/>
  <c r="D345" i="38"/>
  <c r="C345" i="38"/>
  <c r="G344" i="38"/>
  <c r="F344" i="38"/>
  <c r="E344" i="38"/>
  <c r="D344" i="38"/>
  <c r="C344" i="38"/>
  <c r="G342" i="38"/>
  <c r="F342" i="38"/>
  <c r="E342" i="38"/>
  <c r="D342" i="38"/>
  <c r="C342" i="38"/>
  <c r="G341" i="38"/>
  <c r="F341" i="38"/>
  <c r="E341" i="38"/>
  <c r="D341" i="38"/>
  <c r="C341" i="38"/>
  <c r="G340" i="38"/>
  <c r="F340" i="38"/>
  <c r="E340" i="38"/>
  <c r="D340" i="38"/>
  <c r="C340" i="38"/>
  <c r="G339" i="38"/>
  <c r="F339" i="38"/>
  <c r="E339" i="38"/>
  <c r="D339" i="38"/>
  <c r="C339" i="38"/>
  <c r="G337" i="38"/>
  <c r="F337" i="38"/>
  <c r="E337" i="38"/>
  <c r="D337" i="38"/>
  <c r="C337" i="38"/>
  <c r="G336" i="38"/>
  <c r="F336" i="38"/>
  <c r="E336" i="38"/>
  <c r="D336" i="38"/>
  <c r="C336" i="38"/>
  <c r="G335" i="38"/>
  <c r="F335" i="38"/>
  <c r="E335" i="38"/>
  <c r="D335" i="38"/>
  <c r="C335" i="38"/>
  <c r="G334" i="38"/>
  <c r="F334" i="38"/>
  <c r="E334" i="38"/>
  <c r="D334" i="38"/>
  <c r="C334" i="38"/>
  <c r="G333" i="38"/>
  <c r="F333" i="38"/>
  <c r="E333" i="38"/>
  <c r="D333" i="38"/>
  <c r="C333" i="38"/>
  <c r="G332" i="38"/>
  <c r="F332" i="38"/>
  <c r="E332" i="38"/>
  <c r="D332" i="38"/>
  <c r="C332" i="38"/>
  <c r="G331" i="38"/>
  <c r="F331" i="38"/>
  <c r="E331" i="38"/>
  <c r="D331" i="38"/>
  <c r="C331" i="38"/>
  <c r="G330" i="38"/>
  <c r="F330" i="38"/>
  <c r="E330" i="38"/>
  <c r="D330" i="38"/>
  <c r="C330" i="38"/>
  <c r="G329" i="38"/>
  <c r="F329" i="38"/>
  <c r="E329" i="38"/>
  <c r="D329" i="38"/>
  <c r="C329" i="38"/>
  <c r="G328" i="38"/>
  <c r="F328" i="38"/>
  <c r="E328" i="38"/>
  <c r="D328" i="38"/>
  <c r="C328" i="38"/>
  <c r="G326" i="38"/>
  <c r="F326" i="38"/>
  <c r="E326" i="38"/>
  <c r="D326" i="38"/>
  <c r="C326" i="38"/>
  <c r="G325" i="38"/>
  <c r="F325" i="38"/>
  <c r="E325" i="38"/>
  <c r="D325" i="38"/>
  <c r="C325" i="38"/>
  <c r="G324" i="38"/>
  <c r="F324" i="38"/>
  <c r="E324" i="38"/>
  <c r="D324" i="38"/>
  <c r="C324" i="38"/>
  <c r="G323" i="38"/>
  <c r="F323" i="38"/>
  <c r="E323" i="38"/>
  <c r="D323" i="38"/>
  <c r="C323" i="38"/>
  <c r="G321" i="38"/>
  <c r="F321" i="38"/>
  <c r="E321" i="38"/>
  <c r="D321" i="38"/>
  <c r="C321" i="38"/>
  <c r="G320" i="38"/>
  <c r="F320" i="38"/>
  <c r="E320" i="38"/>
  <c r="D320" i="38"/>
  <c r="C320" i="38"/>
  <c r="G319" i="38"/>
  <c r="F319" i="38"/>
  <c r="E319" i="38"/>
  <c r="D319" i="38"/>
  <c r="C319" i="38"/>
  <c r="G318" i="38"/>
  <c r="F318" i="38"/>
  <c r="E318" i="38"/>
  <c r="D318" i="38"/>
  <c r="C318" i="38"/>
  <c r="X422" i="38"/>
  <c r="Y422" i="38"/>
  <c r="X423" i="38"/>
  <c r="Y423" i="38"/>
  <c r="S422" i="38"/>
  <c r="S423" i="38"/>
  <c r="S424" i="38"/>
  <c r="T424" i="38"/>
  <c r="V424" i="38"/>
  <c r="S425" i="38"/>
  <c r="T425" i="38"/>
  <c r="V425" i="38"/>
  <c r="S426" i="38"/>
  <c r="T426" i="38"/>
  <c r="V426" i="38"/>
  <c r="S428" i="38"/>
  <c r="T428" i="38"/>
  <c r="V428" i="38"/>
  <c r="S429" i="38"/>
  <c r="T429" i="38"/>
  <c r="V429" i="38"/>
  <c r="S430" i="38"/>
  <c r="T430" i="38"/>
  <c r="V430" i="38"/>
  <c r="S431" i="38"/>
  <c r="T431" i="38"/>
  <c r="V431" i="38"/>
  <c r="S432" i="38"/>
  <c r="T432" i="38"/>
  <c r="V432" i="38"/>
  <c r="S433" i="38"/>
  <c r="T433" i="38"/>
  <c r="V433" i="38"/>
  <c r="S434" i="38"/>
  <c r="T434" i="38"/>
  <c r="V434" i="38"/>
  <c r="S435" i="38"/>
  <c r="T435" i="38"/>
  <c r="V435" i="38"/>
  <c r="S436" i="38"/>
  <c r="T436" i="38"/>
  <c r="V436" i="38"/>
  <c r="S437" i="38"/>
  <c r="T437" i="38"/>
  <c r="V437" i="38"/>
  <c r="S439" i="38"/>
  <c r="T439" i="38"/>
  <c r="V439" i="38"/>
  <c r="S440" i="38"/>
  <c r="T440" i="38"/>
  <c r="V440" i="38"/>
  <c r="S441" i="38"/>
  <c r="T441" i="38"/>
  <c r="V441" i="38"/>
  <c r="S442" i="38"/>
  <c r="T442" i="38"/>
  <c r="V442" i="38"/>
  <c r="S444" i="38"/>
  <c r="T444" i="38"/>
  <c r="V444" i="38"/>
  <c r="S445" i="38"/>
  <c r="T445" i="38"/>
  <c r="V445" i="38"/>
  <c r="D15" i="51"/>
  <c r="D15" i="53"/>
  <c r="D15" i="48"/>
  <c r="D15" i="47"/>
  <c r="D15" i="46"/>
  <c r="H15" i="51"/>
  <c r="H15" i="53"/>
  <c r="H15" i="48"/>
  <c r="H15" i="47"/>
  <c r="H15" i="41"/>
  <c r="H15" i="46"/>
  <c r="E445" i="38"/>
  <c r="D445" i="38"/>
  <c r="E444" i="38"/>
  <c r="D444" i="38"/>
  <c r="E442" i="38"/>
  <c r="D442" i="38"/>
  <c r="E441" i="38"/>
  <c r="D441" i="38"/>
  <c r="E440" i="38"/>
  <c r="D440" i="38"/>
  <c r="E439" i="38"/>
  <c r="D439" i="38"/>
  <c r="E437" i="38"/>
  <c r="D437" i="38"/>
  <c r="E436" i="38"/>
  <c r="D436" i="38"/>
  <c r="E435" i="38"/>
  <c r="D435" i="38"/>
  <c r="E434" i="38"/>
  <c r="D434" i="38"/>
  <c r="E433" i="38"/>
  <c r="D433" i="38"/>
  <c r="E432" i="38"/>
  <c r="D432" i="38"/>
  <c r="E431" i="38"/>
  <c r="D431" i="38"/>
  <c r="E430" i="38"/>
  <c r="D430" i="38"/>
  <c r="E429" i="38"/>
  <c r="D429" i="38"/>
  <c r="E428" i="38"/>
  <c r="D428" i="38"/>
  <c r="E426" i="38"/>
  <c r="D426" i="38"/>
  <c r="E425" i="38"/>
  <c r="D425" i="38"/>
  <c r="E424" i="38"/>
  <c r="D424" i="38"/>
  <c r="E423" i="38"/>
  <c r="D423" i="38"/>
  <c r="E422" i="38"/>
  <c r="D422" i="38"/>
  <c r="E241" i="38"/>
  <c r="D241" i="38"/>
  <c r="E240" i="38"/>
  <c r="D240" i="38"/>
  <c r="E238" i="38"/>
  <c r="D238" i="38"/>
  <c r="E237" i="38"/>
  <c r="D237" i="38"/>
  <c r="E236" i="38"/>
  <c r="D236" i="38"/>
  <c r="E235" i="38"/>
  <c r="D235" i="38"/>
  <c r="E233" i="38"/>
  <c r="D233" i="38"/>
  <c r="E232" i="38"/>
  <c r="D232" i="38"/>
  <c r="E231" i="38"/>
  <c r="D231" i="38"/>
  <c r="E230" i="38"/>
  <c r="D230" i="38"/>
  <c r="E229" i="38"/>
  <c r="D229" i="38"/>
  <c r="E228" i="38"/>
  <c r="D228" i="38"/>
  <c r="E227" i="38"/>
  <c r="D227" i="38"/>
  <c r="E226" i="38"/>
  <c r="D226" i="38"/>
  <c r="E225" i="38"/>
  <c r="D225" i="38"/>
  <c r="E224" i="38"/>
  <c r="D224" i="38"/>
  <c r="E222" i="38"/>
  <c r="D222" i="38"/>
  <c r="E221" i="38"/>
  <c r="D221" i="38"/>
  <c r="E220" i="38"/>
  <c r="D220" i="38"/>
  <c r="E219" i="38"/>
  <c r="D219" i="38"/>
  <c r="E217" i="38"/>
  <c r="D217" i="38"/>
  <c r="E216" i="38"/>
  <c r="D216" i="38"/>
  <c r="E215" i="38"/>
  <c r="D215" i="38"/>
  <c r="E214" i="38"/>
  <c r="D214" i="38"/>
  <c r="E137" i="38"/>
  <c r="D137" i="38"/>
  <c r="E136" i="38"/>
  <c r="D136" i="38"/>
  <c r="E134" i="38"/>
  <c r="D134" i="38"/>
  <c r="E133" i="38"/>
  <c r="D133" i="38"/>
  <c r="E132" i="38"/>
  <c r="D132" i="38"/>
  <c r="E131" i="38"/>
  <c r="D131" i="38"/>
  <c r="E129" i="38"/>
  <c r="D129" i="38"/>
  <c r="E128" i="38"/>
  <c r="D128" i="38"/>
  <c r="E127" i="38"/>
  <c r="D127" i="38"/>
  <c r="E126" i="38"/>
  <c r="D126" i="38"/>
  <c r="E125" i="38"/>
  <c r="D125" i="38"/>
  <c r="E124" i="38"/>
  <c r="D124" i="38"/>
  <c r="E123" i="38"/>
  <c r="D123" i="38"/>
  <c r="E122" i="38"/>
  <c r="D122" i="38"/>
  <c r="E121" i="38"/>
  <c r="D121" i="38"/>
  <c r="E120" i="38"/>
  <c r="D120" i="38"/>
  <c r="E118" i="38"/>
  <c r="D118" i="38"/>
  <c r="E117" i="38"/>
  <c r="D117" i="38"/>
  <c r="E116" i="38"/>
  <c r="D116" i="38"/>
  <c r="E115" i="38"/>
  <c r="D115" i="38"/>
  <c r="E113" i="38"/>
  <c r="D113" i="38"/>
  <c r="E112" i="38"/>
  <c r="D112" i="38"/>
  <c r="E111" i="38"/>
  <c r="D111" i="38"/>
  <c r="E110" i="38"/>
  <c r="D110" i="38"/>
  <c r="F445" i="38"/>
  <c r="F444" i="38"/>
  <c r="F442" i="38"/>
  <c r="F441" i="38"/>
  <c r="F440" i="38"/>
  <c r="F439" i="38"/>
  <c r="F437" i="38"/>
  <c r="F436" i="38"/>
  <c r="F435" i="38"/>
  <c r="F434" i="38"/>
  <c r="F433" i="38"/>
  <c r="F432" i="38"/>
  <c r="F431" i="38"/>
  <c r="F430" i="38"/>
  <c r="F429" i="38"/>
  <c r="F428" i="38"/>
  <c r="F426" i="38"/>
  <c r="F425" i="38"/>
  <c r="F424" i="38"/>
  <c r="F423" i="38"/>
  <c r="F422" i="38"/>
  <c r="F241" i="38"/>
  <c r="F240" i="38"/>
  <c r="F238" i="38"/>
  <c r="F237" i="38"/>
  <c r="F236" i="38"/>
  <c r="F235" i="38"/>
  <c r="F233" i="38"/>
  <c r="F232" i="38"/>
  <c r="F231" i="38"/>
  <c r="F230" i="38"/>
  <c r="F229" i="38"/>
  <c r="F228" i="38"/>
  <c r="F227" i="38"/>
  <c r="F226" i="38"/>
  <c r="F225" i="38"/>
  <c r="F224" i="38"/>
  <c r="F222" i="38"/>
  <c r="F221" i="38"/>
  <c r="F220" i="38"/>
  <c r="F219" i="38"/>
  <c r="F217" i="38"/>
  <c r="F216" i="38"/>
  <c r="F215" i="38"/>
  <c r="F214" i="38"/>
  <c r="F137" i="38"/>
  <c r="F136" i="38"/>
  <c r="F134" i="38"/>
  <c r="F133" i="38"/>
  <c r="F132" i="38"/>
  <c r="F131" i="38"/>
  <c r="F129" i="38"/>
  <c r="F128" i="38"/>
  <c r="F127" i="38"/>
  <c r="F126" i="38"/>
  <c r="F125" i="38"/>
  <c r="F124" i="38"/>
  <c r="F123" i="38"/>
  <c r="F122" i="38"/>
  <c r="F121" i="38"/>
  <c r="F120" i="38"/>
  <c r="F118" i="38"/>
  <c r="F117" i="38"/>
  <c r="F116" i="38"/>
  <c r="F115" i="38"/>
  <c r="F113" i="38"/>
  <c r="F112" i="38"/>
  <c r="F111" i="38"/>
  <c r="F110" i="38"/>
  <c r="L25" i="46"/>
  <c r="B25" i="46"/>
  <c r="I30" i="46"/>
  <c r="H30" i="46"/>
  <c r="L32" i="57" l="1"/>
  <c r="J32" i="57"/>
  <c r="K32" i="57" s="1"/>
  <c r="B32" i="57"/>
  <c r="I32" i="57"/>
  <c r="B26" i="54"/>
  <c r="B76" i="54" s="1"/>
  <c r="B126" i="54" s="1"/>
  <c r="B176" i="54" s="1"/>
  <c r="B226" i="54" s="1"/>
  <c r="B276" i="54" s="1"/>
  <c r="H26" i="54"/>
  <c r="H76" i="54" s="1"/>
  <c r="H126" i="54" s="1"/>
  <c r="H176" i="54" s="1"/>
  <c r="H226" i="54" s="1"/>
  <c r="H276" i="54" s="1"/>
  <c r="I26" i="54"/>
  <c r="I76" i="54" s="1"/>
  <c r="I126" i="54" s="1"/>
  <c r="I176" i="54" s="1"/>
  <c r="I226" i="54" s="1"/>
  <c r="I276" i="54" s="1"/>
  <c r="K312" i="22"/>
  <c r="J27" i="22" a="1"/>
  <c r="J27" i="22" s="1"/>
  <c r="K27" i="22" s="1"/>
  <c r="J73" i="54"/>
  <c r="K73" i="54" s="1"/>
  <c r="C123" i="54"/>
  <c r="J123" i="54" s="1"/>
  <c r="D40" i="53"/>
  <c r="D65" i="54"/>
  <c r="D115" i="54" s="1"/>
  <c r="D165" i="54" s="1"/>
  <c r="D215" i="54" s="1"/>
  <c r="D265" i="54" s="1"/>
  <c r="D41" i="54"/>
  <c r="J35" i="58"/>
  <c r="B35" i="58"/>
  <c r="L35" i="58"/>
  <c r="H35" i="58" a="1"/>
  <c r="H35" i="58" s="1"/>
  <c r="B20" i="58"/>
  <c r="L34" i="58"/>
  <c r="H34" i="58"/>
  <c r="J34" i="58"/>
  <c r="I34" i="58"/>
  <c r="B34" i="58"/>
  <c r="J48" i="22"/>
  <c r="H20" i="58" a="1"/>
  <c r="H20" i="58" s="1"/>
  <c r="J20" i="58"/>
  <c r="L20" i="58"/>
  <c r="K19" i="58"/>
  <c r="I20" i="58"/>
  <c r="K27" i="58"/>
  <c r="K65" i="54"/>
  <c r="K115" i="54" s="1"/>
  <c r="K165" i="54" s="1"/>
  <c r="K215" i="54" s="1"/>
  <c r="K265" i="54" s="1"/>
  <c r="C37" i="54" a="1"/>
  <c r="C37" i="54" s="1"/>
  <c r="C87" i="54" s="1"/>
  <c r="C137" i="54" s="1"/>
  <c r="C187" i="54" s="1"/>
  <c r="C237" i="54" s="1"/>
  <c r="C287" i="54" s="1"/>
  <c r="J287" i="54" s="1"/>
  <c r="K22" i="46"/>
  <c r="H8" i="57" a="1"/>
  <c r="H8" i="57" s="1"/>
  <c r="H8" i="58" a="1"/>
  <c r="H8" i="58" s="1"/>
  <c r="J199" i="22"/>
  <c r="C256" i="22"/>
  <c r="E69" i="54"/>
  <c r="E119" i="54" s="1"/>
  <c r="C19" i="54"/>
  <c r="K34" i="57"/>
  <c r="B21" i="57"/>
  <c r="H21" i="57"/>
  <c r="H25" i="57"/>
  <c r="I25" i="57"/>
  <c r="L25" i="57"/>
  <c r="J25" i="57"/>
  <c r="B25" i="57"/>
  <c r="K32" i="56"/>
  <c r="K25" i="56"/>
  <c r="K37" i="55"/>
  <c r="K32" i="55"/>
  <c r="C83" i="54"/>
  <c r="C133" i="54" s="1"/>
  <c r="C183" i="54" s="1"/>
  <c r="C233" i="54" s="1"/>
  <c r="C283" i="54" s="1"/>
  <c r="J283" i="54" s="1"/>
  <c r="B33" i="54"/>
  <c r="B83" i="54" s="1"/>
  <c r="B133" i="54" s="1"/>
  <c r="B183" i="54" s="1"/>
  <c r="B233" i="54" s="1"/>
  <c r="B283" i="54" s="1"/>
  <c r="H29" i="54"/>
  <c r="H79" i="54" s="1"/>
  <c r="H129" i="54" s="1"/>
  <c r="H179" i="54" s="1"/>
  <c r="H229" i="54" s="1"/>
  <c r="H279" i="54" s="1"/>
  <c r="B29" i="54"/>
  <c r="B79" i="54" s="1"/>
  <c r="B129" i="54" s="1"/>
  <c r="B179" i="54" s="1"/>
  <c r="B229" i="54" s="1"/>
  <c r="B279" i="54" s="1"/>
  <c r="L28" i="54"/>
  <c r="L78" i="54" s="1"/>
  <c r="L128" i="54" s="1"/>
  <c r="L178" i="54" s="1"/>
  <c r="L228" i="54" s="1"/>
  <c r="L278" i="54" s="1"/>
  <c r="B28" i="54"/>
  <c r="B78" i="54" s="1"/>
  <c r="B128" i="54" s="1"/>
  <c r="B178" i="54" s="1"/>
  <c r="B228" i="54" s="1"/>
  <c r="B278" i="54" s="1"/>
  <c r="B27" i="54"/>
  <c r="B77" i="54" s="1"/>
  <c r="B127" i="54" s="1"/>
  <c r="B177" i="54" s="1"/>
  <c r="B227" i="54" s="1"/>
  <c r="B277" i="54" s="1"/>
  <c r="I29" i="54"/>
  <c r="I79" i="54" s="1"/>
  <c r="I129" i="54" s="1"/>
  <c r="I179" i="54" s="1"/>
  <c r="I229" i="54" s="1"/>
  <c r="I279" i="54" s="1"/>
  <c r="K66" i="54"/>
  <c r="K116" i="54" s="1"/>
  <c r="K166" i="54" s="1"/>
  <c r="K216" i="54" s="1"/>
  <c r="K266" i="54" s="1"/>
  <c r="J218" i="54"/>
  <c r="K218" i="54" s="1"/>
  <c r="J68" i="54"/>
  <c r="L30" i="54"/>
  <c r="L80" i="54" s="1"/>
  <c r="L130" i="54" s="1"/>
  <c r="L180" i="54" s="1"/>
  <c r="L230" i="54" s="1"/>
  <c r="L280" i="54" s="1"/>
  <c r="C80" i="54"/>
  <c r="C130" i="54" s="1"/>
  <c r="C180" i="54" s="1"/>
  <c r="C230" i="54" s="1"/>
  <c r="C280" i="54" s="1"/>
  <c r="L31" i="54"/>
  <c r="L81" i="54" s="1"/>
  <c r="L131" i="54" s="1"/>
  <c r="L181" i="54" s="1"/>
  <c r="L231" i="54" s="1"/>
  <c r="L281" i="54" s="1"/>
  <c r="C81" i="54"/>
  <c r="C131" i="54" s="1"/>
  <c r="C181" i="54" s="1"/>
  <c r="C231" i="54" s="1"/>
  <c r="C281" i="54" s="1"/>
  <c r="C20" i="54"/>
  <c r="B20" i="54" s="1"/>
  <c r="B70" i="54" s="1"/>
  <c r="B120" i="54" s="1"/>
  <c r="B170" i="54" s="1"/>
  <c r="B220" i="54" s="1"/>
  <c r="B270" i="54" s="1"/>
  <c r="E70" i="54"/>
  <c r="C79" i="54"/>
  <c r="C129" i="54" s="1"/>
  <c r="C179" i="54" s="1"/>
  <c r="C229" i="54" s="1"/>
  <c r="C279" i="54" s="1"/>
  <c r="J279" i="54" s="1"/>
  <c r="I80" i="54"/>
  <c r="I130" i="54" s="1"/>
  <c r="I180" i="54" s="1"/>
  <c r="I230" i="54" s="1"/>
  <c r="I280" i="54" s="1"/>
  <c r="L22" i="54"/>
  <c r="L72" i="54" s="1"/>
  <c r="L122" i="54" s="1"/>
  <c r="L172" i="54" s="1"/>
  <c r="C72" i="54"/>
  <c r="J72" i="54" s="1"/>
  <c r="I28" i="54"/>
  <c r="I78" i="54" s="1"/>
  <c r="I128" i="54" s="1"/>
  <c r="I178" i="54" s="1"/>
  <c r="I228" i="54" s="1"/>
  <c r="I278" i="54" s="1"/>
  <c r="C78" i="54"/>
  <c r="C128" i="54" s="1"/>
  <c r="C178" i="54" s="1"/>
  <c r="C228" i="54" s="1"/>
  <c r="C278" i="54" s="1"/>
  <c r="J278" i="54" s="1"/>
  <c r="B81" i="54"/>
  <c r="B131" i="54" s="1"/>
  <c r="B181" i="54" s="1"/>
  <c r="B231" i="54" s="1"/>
  <c r="B281" i="54" s="1"/>
  <c r="L27" i="54"/>
  <c r="L77" i="54" s="1"/>
  <c r="L127" i="54" s="1"/>
  <c r="L177" i="54" s="1"/>
  <c r="L227" i="54" s="1"/>
  <c r="L277" i="54" s="1"/>
  <c r="C77" i="54"/>
  <c r="C127" i="54" s="1"/>
  <c r="C177" i="54" s="1"/>
  <c r="C227" i="54" s="1"/>
  <c r="C277" i="54" s="1"/>
  <c r="C76" i="54"/>
  <c r="C126" i="54" s="1"/>
  <c r="C176" i="54" s="1"/>
  <c r="C226" i="54" s="1"/>
  <c r="C276" i="54" s="1"/>
  <c r="L29" i="54"/>
  <c r="L79" i="54" s="1"/>
  <c r="L129" i="54" s="1"/>
  <c r="L179" i="54" s="1"/>
  <c r="L229" i="54" s="1"/>
  <c r="L279" i="54" s="1"/>
  <c r="E71" i="54"/>
  <c r="H82" i="54"/>
  <c r="H132" i="54" s="1"/>
  <c r="H182" i="54" s="1"/>
  <c r="H232" i="54" s="1"/>
  <c r="H282" i="54" s="1"/>
  <c r="C82" i="54"/>
  <c r="C132" i="54" s="1"/>
  <c r="C182" i="54" s="1"/>
  <c r="C232" i="54" s="1"/>
  <c r="C282" i="54" s="1"/>
  <c r="J282" i="54" s="1"/>
  <c r="L26" i="54"/>
  <c r="L76" i="54" s="1"/>
  <c r="L126" i="54" s="1"/>
  <c r="L176" i="54" s="1"/>
  <c r="L226" i="54" s="1"/>
  <c r="L276" i="54" s="1"/>
  <c r="I82" i="54"/>
  <c r="I132" i="54" s="1"/>
  <c r="I182" i="54" s="1"/>
  <c r="I232" i="54" s="1"/>
  <c r="I282" i="54" s="1"/>
  <c r="L32" i="54"/>
  <c r="L82" i="54" s="1"/>
  <c r="L132" i="54" s="1"/>
  <c r="L182" i="54" s="1"/>
  <c r="L232" i="54" s="1"/>
  <c r="L282" i="54" s="1"/>
  <c r="L15" i="54"/>
  <c r="L65" i="54" s="1"/>
  <c r="L115" i="54" s="1"/>
  <c r="L165" i="54" s="1"/>
  <c r="L215" i="54" s="1"/>
  <c r="L265" i="54" s="1"/>
  <c r="B82" i="54"/>
  <c r="B132" i="54" s="1"/>
  <c r="B182" i="54" s="1"/>
  <c r="B232" i="54" s="1"/>
  <c r="B282" i="54" s="1"/>
  <c r="B80" i="54"/>
  <c r="B130" i="54" s="1"/>
  <c r="B180" i="54" s="1"/>
  <c r="B230" i="54" s="1"/>
  <c r="B280" i="54" s="1"/>
  <c r="H80" i="54"/>
  <c r="H130" i="54" s="1"/>
  <c r="H180" i="54" s="1"/>
  <c r="H230" i="54" s="1"/>
  <c r="H280" i="54" s="1"/>
  <c r="H28" i="54"/>
  <c r="H78" i="54" s="1"/>
  <c r="H128" i="54" s="1"/>
  <c r="H178" i="54" s="1"/>
  <c r="H228" i="54" s="1"/>
  <c r="H278" i="54" s="1"/>
  <c r="H77" i="54"/>
  <c r="H127" i="54" s="1"/>
  <c r="H177" i="54" s="1"/>
  <c r="H227" i="54" s="1"/>
  <c r="H277" i="54" s="1"/>
  <c r="H81" i="54"/>
  <c r="H131" i="54" s="1"/>
  <c r="H181" i="54" s="1"/>
  <c r="H231" i="54" s="1"/>
  <c r="H281" i="54" s="1"/>
  <c r="H83" i="54"/>
  <c r="H133" i="54" s="1"/>
  <c r="H183" i="54" s="1"/>
  <c r="H233" i="54" s="1"/>
  <c r="H283" i="54" s="1"/>
  <c r="I77" i="54"/>
  <c r="I127" i="54" s="1"/>
  <c r="I177" i="54" s="1"/>
  <c r="I227" i="54" s="1"/>
  <c r="I277" i="54" s="1"/>
  <c r="I81" i="54"/>
  <c r="I131" i="54" s="1"/>
  <c r="I181" i="54" s="1"/>
  <c r="I231" i="54" s="1"/>
  <c r="I281" i="54" s="1"/>
  <c r="I83" i="54"/>
  <c r="I133" i="54" s="1"/>
  <c r="I183" i="54" s="1"/>
  <c r="I233" i="54" s="1"/>
  <c r="I283" i="54" s="1"/>
  <c r="L33" i="54"/>
  <c r="L83" i="54" s="1"/>
  <c r="L133" i="54" s="1"/>
  <c r="L183" i="54" s="1"/>
  <c r="L233" i="54" s="1"/>
  <c r="L283" i="54" s="1"/>
  <c r="B22" i="54"/>
  <c r="B72" i="54" s="1"/>
  <c r="B122" i="54" s="1"/>
  <c r="B172" i="54" s="1"/>
  <c r="H22" i="54"/>
  <c r="H72" i="54" s="1"/>
  <c r="H122" i="54" s="1"/>
  <c r="H172" i="54" s="1"/>
  <c r="H222" i="54" s="1"/>
  <c r="H272" i="54" s="1"/>
  <c r="I22" i="54"/>
  <c r="I72" i="54" s="1"/>
  <c r="I122" i="54" s="1"/>
  <c r="I172" i="54" s="1"/>
  <c r="I222" i="54" s="1"/>
  <c r="I272" i="54" s="1"/>
  <c r="L21" i="54"/>
  <c r="L71" i="54" s="1"/>
  <c r="L121" i="54" s="1"/>
  <c r="L171" i="54" s="1"/>
  <c r="B21" i="54"/>
  <c r="B71" i="54" s="1"/>
  <c r="B121" i="54" s="1"/>
  <c r="B171" i="54" s="1"/>
  <c r="I21" i="54"/>
  <c r="I71" i="54" s="1"/>
  <c r="I121" i="54" s="1"/>
  <c r="I171" i="54" s="1"/>
  <c r="I221" i="54" s="1"/>
  <c r="I271" i="54" s="1"/>
  <c r="H21" i="54"/>
  <c r="H71" i="54" s="1"/>
  <c r="H121" i="54" s="1"/>
  <c r="H171" i="54" s="1"/>
  <c r="H221" i="54" s="1"/>
  <c r="H271" i="54" s="1"/>
  <c r="K199" i="22" l="1"/>
  <c r="C173" i="54"/>
  <c r="K123" i="54"/>
  <c r="K35" i="58"/>
  <c r="K34" i="58"/>
  <c r="K20" i="58"/>
  <c r="B36" i="54"/>
  <c r="B86" i="54" s="1"/>
  <c r="B136" i="54" s="1"/>
  <c r="B186" i="54" s="1"/>
  <c r="B236" i="54" s="1"/>
  <c r="B286" i="54" s="1"/>
  <c r="B37" i="54"/>
  <c r="B87" i="54" s="1"/>
  <c r="B137" i="54" s="1"/>
  <c r="B187" i="54" s="1"/>
  <c r="B237" i="54" s="1"/>
  <c r="B287" i="54" s="1"/>
  <c r="H36" i="54"/>
  <c r="H86" i="54" s="1"/>
  <c r="H136" i="54" s="1"/>
  <c r="H186" i="54" s="1"/>
  <c r="H236" i="54" s="1"/>
  <c r="H286" i="54" s="1"/>
  <c r="C86" i="54"/>
  <c r="H37" i="54"/>
  <c r="H87" i="54" s="1"/>
  <c r="H137" i="54" s="1"/>
  <c r="H187" i="54" s="1"/>
  <c r="H237" i="54" s="1"/>
  <c r="H287" i="54" s="1"/>
  <c r="K287" i="54" s="1"/>
  <c r="I37" i="54"/>
  <c r="I87" i="54" s="1"/>
  <c r="I137" i="54" s="1"/>
  <c r="I187" i="54" s="1"/>
  <c r="I237" i="54" s="1"/>
  <c r="I287" i="54" s="1"/>
  <c r="L36" i="54"/>
  <c r="L86" i="54" s="1"/>
  <c r="L136" i="54" s="1"/>
  <c r="L186" i="54" s="1"/>
  <c r="L236" i="54" s="1"/>
  <c r="L286" i="54" s="1"/>
  <c r="I36" i="54"/>
  <c r="I86" i="54" s="1"/>
  <c r="I136" i="54" s="1"/>
  <c r="I186" i="54" s="1"/>
  <c r="I236" i="54" s="1"/>
  <c r="I286" i="54" s="1"/>
  <c r="L37" i="54"/>
  <c r="L87" i="54" s="1"/>
  <c r="L137" i="54" s="1"/>
  <c r="L187" i="54" s="1"/>
  <c r="L237" i="54" s="1"/>
  <c r="L287" i="54" s="1"/>
  <c r="J256" i="22"/>
  <c r="K256" i="22" s="1"/>
  <c r="C313" i="22"/>
  <c r="J313" i="22" s="1"/>
  <c r="K21" i="57"/>
  <c r="K25" i="57"/>
  <c r="K38" i="56"/>
  <c r="K38" i="55"/>
  <c r="J183" i="54"/>
  <c r="K183" i="54" s="1"/>
  <c r="J233" i="54"/>
  <c r="K233" i="54" s="1"/>
  <c r="J83" i="54"/>
  <c r="J33" i="54" s="1" a="1"/>
  <c r="J33" i="54" s="1"/>
  <c r="K33" i="54" s="1"/>
  <c r="J133" i="54"/>
  <c r="K133" i="54" s="1"/>
  <c r="K68" i="54"/>
  <c r="K279" i="54"/>
  <c r="C122" i="54"/>
  <c r="J122" i="54" s="1"/>
  <c r="K72" i="54"/>
  <c r="J128" i="54"/>
  <c r="K128" i="54" s="1"/>
  <c r="J79" i="54"/>
  <c r="K79" i="54" s="1"/>
  <c r="J228" i="54"/>
  <c r="K228" i="54" s="1"/>
  <c r="K282" i="54"/>
  <c r="J178" i="54"/>
  <c r="K178" i="54" s="1"/>
  <c r="H20" i="54"/>
  <c r="H70" i="54" s="1"/>
  <c r="H120" i="54" s="1"/>
  <c r="H170" i="54" s="1"/>
  <c r="H220" i="54" s="1"/>
  <c r="H270" i="54" s="1"/>
  <c r="I20" i="54"/>
  <c r="I70" i="54" s="1"/>
  <c r="I120" i="54" s="1"/>
  <c r="I170" i="54" s="1"/>
  <c r="I220" i="54" s="1"/>
  <c r="I270" i="54" s="1"/>
  <c r="J187" i="54"/>
  <c r="J137" i="54"/>
  <c r="J87" i="54"/>
  <c r="J237" i="54"/>
  <c r="J129" i="54"/>
  <c r="K129" i="54" s="1"/>
  <c r="J229" i="54"/>
  <c r="K229" i="54" s="1"/>
  <c r="K278" i="54"/>
  <c r="J82" i="54"/>
  <c r="K82" i="54" s="1"/>
  <c r="K283" i="54"/>
  <c r="E120" i="54"/>
  <c r="H41" i="54" a="1"/>
  <c r="H41" i="54" s="1"/>
  <c r="H91" i="54" s="1"/>
  <c r="H141" i="54" s="1"/>
  <c r="H191" i="54" s="1"/>
  <c r="H241" i="54" s="1"/>
  <c r="H291" i="54" s="1"/>
  <c r="C69" i="54"/>
  <c r="K84" i="54"/>
  <c r="K134" i="54" s="1"/>
  <c r="K184" i="54" s="1"/>
  <c r="K234" i="54" s="1"/>
  <c r="K284" i="54" s="1"/>
  <c r="J84" i="54"/>
  <c r="J134" i="54" s="1"/>
  <c r="J184" i="54" s="1"/>
  <c r="J234" i="54" s="1"/>
  <c r="J284" i="54" s="1"/>
  <c r="J80" i="54"/>
  <c r="K80" i="54" s="1"/>
  <c r="L20" i="54"/>
  <c r="L70" i="54" s="1"/>
  <c r="L120" i="54" s="1"/>
  <c r="L170" i="54" s="1"/>
  <c r="L220" i="54" s="1"/>
  <c r="L270" i="54" s="1"/>
  <c r="C70" i="54"/>
  <c r="C120" i="54" s="1"/>
  <c r="C170" i="54" s="1"/>
  <c r="C220" i="54" s="1"/>
  <c r="C270" i="54" s="1"/>
  <c r="J179" i="54"/>
  <c r="K179" i="54" s="1"/>
  <c r="J71" i="54"/>
  <c r="K71" i="54" s="1"/>
  <c r="E121" i="54"/>
  <c r="J78" i="54"/>
  <c r="K78" i="54" s="1"/>
  <c r="J182" i="54"/>
  <c r="K182" i="54" s="1"/>
  <c r="J232" i="54"/>
  <c r="K232" i="54" s="1"/>
  <c r="L221" i="54"/>
  <c r="L222" i="54"/>
  <c r="B221" i="54"/>
  <c r="B222" i="54"/>
  <c r="E169" i="54"/>
  <c r="J132" i="54"/>
  <c r="K132" i="54" s="1"/>
  <c r="B19" i="54"/>
  <c r="H19" i="54"/>
  <c r="H69" i="54" s="1"/>
  <c r="H119" i="54" s="1"/>
  <c r="H169" i="54" s="1"/>
  <c r="H219" i="54" s="1"/>
  <c r="H269" i="54" s="1"/>
  <c r="L19" i="54"/>
  <c r="L69" i="54" s="1"/>
  <c r="L119" i="54" s="1"/>
  <c r="L169" i="54" s="1"/>
  <c r="L219" i="54" s="1"/>
  <c r="L269" i="54" s="1"/>
  <c r="I19" i="54"/>
  <c r="I69" i="54" s="1"/>
  <c r="I119" i="54" s="1"/>
  <c r="I169" i="54" s="1"/>
  <c r="I219" i="54" s="1"/>
  <c r="I269" i="54" s="1"/>
  <c r="I34" i="41"/>
  <c r="H34" i="41"/>
  <c r="C4" i="51"/>
  <c r="C4" i="53"/>
  <c r="C4" i="48"/>
  <c r="C4" i="47"/>
  <c r="C4" i="41"/>
  <c r="C4" i="22"/>
  <c r="F18" i="43"/>
  <c r="J28" i="48" a="1"/>
  <c r="J28" i="48" s="1"/>
  <c r="L28" i="48"/>
  <c r="I28" i="48"/>
  <c r="H28" i="48"/>
  <c r="B28" i="48"/>
  <c r="K313" i="22" l="1"/>
  <c r="J28" i="22" a="1"/>
  <c r="J28" i="22" s="1"/>
  <c r="K28" i="22" s="1"/>
  <c r="C223" i="54"/>
  <c r="J223" i="54" s="1"/>
  <c r="K38" i="58"/>
  <c r="K40" i="58" s="1"/>
  <c r="K44" i="58" s="1"/>
  <c r="D12" i="58" s="1"/>
  <c r="C136" i="54"/>
  <c r="C186" i="54" s="1"/>
  <c r="C236" i="54" s="1"/>
  <c r="C286" i="54" s="1"/>
  <c r="J286" i="54" s="1"/>
  <c r="K286" i="54" s="1"/>
  <c r="J86" i="54"/>
  <c r="K237" i="54"/>
  <c r="K87" i="54"/>
  <c r="K137" i="54"/>
  <c r="K187" i="54"/>
  <c r="J36" i="57"/>
  <c r="K36" i="57" s="1"/>
  <c r="K38" i="57" s="1"/>
  <c r="K40" i="57" s="1"/>
  <c r="K42" i="57" s="1"/>
  <c r="D12" i="57" s="1"/>
  <c r="K40" i="56"/>
  <c r="K40" i="55"/>
  <c r="K83" i="54"/>
  <c r="C172" i="54"/>
  <c r="J172" i="54" s="1"/>
  <c r="K122" i="54"/>
  <c r="J29" i="54" a="1"/>
  <c r="J29" i="54" s="1"/>
  <c r="K29" i="54" s="1"/>
  <c r="J28" i="54" a="1"/>
  <c r="J28" i="54" s="1"/>
  <c r="K28" i="54" s="1"/>
  <c r="J32" i="54" a="1"/>
  <c r="J32" i="54" s="1"/>
  <c r="K32" i="54" s="1"/>
  <c r="J30" i="54" a="1"/>
  <c r="J30" i="54" s="1"/>
  <c r="K30" i="54" s="1"/>
  <c r="B271" i="54"/>
  <c r="B272" i="54"/>
  <c r="L271" i="54"/>
  <c r="L272" i="54"/>
  <c r="C119" i="54"/>
  <c r="J69" i="54"/>
  <c r="K69" i="54" s="1"/>
  <c r="E219" i="54"/>
  <c r="J121" i="54"/>
  <c r="K121" i="54" s="1"/>
  <c r="E171" i="54"/>
  <c r="J70" i="54"/>
  <c r="B69" i="54"/>
  <c r="B66" i="54"/>
  <c r="J120" i="54"/>
  <c r="K120" i="54" s="1"/>
  <c r="E170" i="54"/>
  <c r="J37" i="54" a="1"/>
  <c r="J37" i="54" s="1"/>
  <c r="K37" i="54" s="1"/>
  <c r="K28" i="48"/>
  <c r="B24" i="22"/>
  <c r="B81" i="22" s="1"/>
  <c r="B138" i="22" s="1"/>
  <c r="B195" i="22" s="1"/>
  <c r="B252" i="22" s="1"/>
  <c r="B309" i="22" s="1"/>
  <c r="G445" i="38"/>
  <c r="G444" i="38"/>
  <c r="G442" i="38"/>
  <c r="G441" i="38"/>
  <c r="G440" i="38"/>
  <c r="G439" i="38"/>
  <c r="G437" i="38"/>
  <c r="G436" i="38"/>
  <c r="G435" i="38"/>
  <c r="G434" i="38"/>
  <c r="G433" i="38"/>
  <c r="G432" i="38"/>
  <c r="G431" i="38"/>
  <c r="G430" i="38"/>
  <c r="G429" i="38"/>
  <c r="G428" i="38"/>
  <c r="G426" i="38"/>
  <c r="G425" i="38"/>
  <c r="G424" i="38"/>
  <c r="G423" i="38"/>
  <c r="G422" i="38"/>
  <c r="G241" i="38"/>
  <c r="G240" i="38"/>
  <c r="G238" i="38"/>
  <c r="G237" i="38"/>
  <c r="G236" i="38"/>
  <c r="G235" i="38"/>
  <c r="G233" i="38"/>
  <c r="G232" i="38"/>
  <c r="G231" i="38"/>
  <c r="G230" i="38"/>
  <c r="G229" i="38"/>
  <c r="G228" i="38"/>
  <c r="G227" i="38"/>
  <c r="G226" i="38"/>
  <c r="G225" i="38"/>
  <c r="G224" i="38"/>
  <c r="G222" i="38"/>
  <c r="G221" i="38"/>
  <c r="G220" i="38"/>
  <c r="G219" i="38"/>
  <c r="G217" i="38"/>
  <c r="G216" i="38"/>
  <c r="G215" i="38"/>
  <c r="G214" i="38"/>
  <c r="G137" i="38"/>
  <c r="G136" i="38"/>
  <c r="G134" i="38"/>
  <c r="G133" i="38"/>
  <c r="G132" i="38"/>
  <c r="G131" i="38"/>
  <c r="G129" i="38"/>
  <c r="G128" i="38"/>
  <c r="G127" i="38"/>
  <c r="G126" i="38"/>
  <c r="G125" i="38"/>
  <c r="G124" i="38"/>
  <c r="G123" i="38"/>
  <c r="G122" i="38"/>
  <c r="G121" i="38"/>
  <c r="G120" i="38"/>
  <c r="G118" i="38"/>
  <c r="G117" i="38"/>
  <c r="G116" i="38"/>
  <c r="G115" i="38"/>
  <c r="G113" i="38"/>
  <c r="G112" i="38"/>
  <c r="G111" i="38"/>
  <c r="G110" i="38"/>
  <c r="F132" i="22"/>
  <c r="F189" i="22" s="1"/>
  <c r="G132" i="22"/>
  <c r="G189" i="22" s="1"/>
  <c r="F143" i="22"/>
  <c r="G143" i="22"/>
  <c r="F144" i="22"/>
  <c r="F201" i="22" s="1"/>
  <c r="G144" i="22"/>
  <c r="G201" i="22" s="1"/>
  <c r="F145" i="22"/>
  <c r="G145" i="22"/>
  <c r="E76" i="22"/>
  <c r="E133" i="22" s="1"/>
  <c r="E190" i="22" s="1"/>
  <c r="C232" i="22"/>
  <c r="J230" i="22"/>
  <c r="L172" i="22"/>
  <c r="C175" i="22"/>
  <c r="J173" i="22"/>
  <c r="L115" i="22"/>
  <c r="C118" i="22"/>
  <c r="C61" i="22"/>
  <c r="J116" i="22"/>
  <c r="L58" i="22"/>
  <c r="H102" i="22"/>
  <c r="H159" i="22" s="1"/>
  <c r="H216" i="22" s="1"/>
  <c r="H273" i="22" s="1"/>
  <c r="H330" i="22" s="1"/>
  <c r="I102" i="22"/>
  <c r="I159" i="22" s="1"/>
  <c r="I216" i="22" s="1"/>
  <c r="I273" i="22" s="1"/>
  <c r="I330" i="22" s="1"/>
  <c r="J102" i="22"/>
  <c r="J159" i="22" s="1"/>
  <c r="J216" i="22" s="1"/>
  <c r="J273" i="22" s="1"/>
  <c r="J330" i="22" s="1"/>
  <c r="K102" i="22"/>
  <c r="K159" i="22" s="1"/>
  <c r="K216" i="22" s="1"/>
  <c r="K273" i="22" s="1"/>
  <c r="K330" i="22" s="1"/>
  <c r="L103" i="22"/>
  <c r="L160" i="22" s="1"/>
  <c r="L217" i="22" s="1"/>
  <c r="L274" i="22" s="1"/>
  <c r="L331" i="22" s="1"/>
  <c r="L74" i="22"/>
  <c r="L131" i="22" s="1"/>
  <c r="L188" i="22" s="1"/>
  <c r="L245" i="22" s="1"/>
  <c r="L302" i="22" s="1"/>
  <c r="L87" i="22"/>
  <c r="L144" i="22" s="1"/>
  <c r="L201" i="22" s="1"/>
  <c r="L258" i="22" s="1"/>
  <c r="L315" i="22" s="1"/>
  <c r="L88" i="22"/>
  <c r="L145" i="22" s="1"/>
  <c r="L202" i="22" s="1"/>
  <c r="L259" i="22" s="1"/>
  <c r="L316" i="22" s="1"/>
  <c r="L89" i="22"/>
  <c r="L146" i="22" s="1"/>
  <c r="L203" i="22" s="1"/>
  <c r="L260" i="22" s="1"/>
  <c r="L317" i="22" s="1"/>
  <c r="L99" i="22"/>
  <c r="L156" i="22" s="1"/>
  <c r="L213" i="22" s="1"/>
  <c r="L270" i="22" s="1"/>
  <c r="L327" i="22" s="1"/>
  <c r="L102" i="22"/>
  <c r="L159" i="22" s="1"/>
  <c r="L216" i="22" s="1"/>
  <c r="L273" i="22" s="1"/>
  <c r="L330" i="22" s="1"/>
  <c r="E73" i="22"/>
  <c r="E130" i="22" s="1"/>
  <c r="E187" i="22" s="1"/>
  <c r="E244" i="22" s="1"/>
  <c r="E301" i="22" s="1"/>
  <c r="G73" i="22"/>
  <c r="G130" i="22" s="1"/>
  <c r="G187" i="22" s="1"/>
  <c r="G244" i="22" s="1"/>
  <c r="G301" i="22" s="1"/>
  <c r="I73" i="22"/>
  <c r="I130" i="22" s="1"/>
  <c r="I187" i="22" s="1"/>
  <c r="I244" i="22" s="1"/>
  <c r="I301" i="22" s="1"/>
  <c r="J73" i="22"/>
  <c r="J130" i="22" s="1"/>
  <c r="J187" i="22" s="1"/>
  <c r="J244" i="22" s="1"/>
  <c r="J301" i="22" s="1"/>
  <c r="L73" i="22"/>
  <c r="L130" i="22" s="1"/>
  <c r="L187" i="22" s="1"/>
  <c r="L244" i="22" s="1"/>
  <c r="L301" i="22" s="1"/>
  <c r="D106" i="22"/>
  <c r="D163" i="22" s="1"/>
  <c r="D220" i="22" s="1"/>
  <c r="D277" i="22" s="1"/>
  <c r="D334" i="22" s="1"/>
  <c r="E106" i="22"/>
  <c r="E163" i="22" s="1"/>
  <c r="E220" i="22" s="1"/>
  <c r="E277" i="22" s="1"/>
  <c r="E334" i="22" s="1"/>
  <c r="F106" i="22"/>
  <c r="F163" i="22" s="1"/>
  <c r="F220" i="22" s="1"/>
  <c r="F277" i="22" s="1"/>
  <c r="F334" i="22" s="1"/>
  <c r="G106" i="22"/>
  <c r="G163" i="22" s="1"/>
  <c r="G220" i="22" s="1"/>
  <c r="G277" i="22" s="1"/>
  <c r="G334" i="22" s="1"/>
  <c r="B106" i="22"/>
  <c r="B163" i="22" s="1"/>
  <c r="B220" i="22" s="1"/>
  <c r="B277" i="22" s="1"/>
  <c r="B334" i="22" s="1"/>
  <c r="B104" i="22"/>
  <c r="B161" i="22" s="1"/>
  <c r="B218" i="22" s="1"/>
  <c r="B275" i="22" s="1"/>
  <c r="B332" i="22" s="1"/>
  <c r="B105" i="22"/>
  <c r="B162" i="22" s="1"/>
  <c r="B219" i="22" s="1"/>
  <c r="B276" i="22" s="1"/>
  <c r="B333" i="22" s="1"/>
  <c r="N106" i="22"/>
  <c r="N163" i="22" s="1"/>
  <c r="N220" i="22" s="1"/>
  <c r="N277" i="22" s="1"/>
  <c r="N334" i="22" s="1"/>
  <c r="M106" i="22"/>
  <c r="M163" i="22" s="1"/>
  <c r="M220" i="22" s="1"/>
  <c r="M277" i="22" s="1"/>
  <c r="M334" i="22" s="1"/>
  <c r="L106" i="22"/>
  <c r="L163" i="22" s="1"/>
  <c r="L220" i="22" s="1"/>
  <c r="L277" i="22" s="1"/>
  <c r="L334" i="22" s="1"/>
  <c r="H106" i="22"/>
  <c r="H163" i="22" s="1"/>
  <c r="H220" i="22" s="1"/>
  <c r="H277" i="22" s="1"/>
  <c r="H334" i="22" s="1"/>
  <c r="C106" i="22"/>
  <c r="C163" i="22" s="1"/>
  <c r="C220" i="22" s="1"/>
  <c r="C277" i="22" s="1"/>
  <c r="C334" i="22" s="1"/>
  <c r="M105" i="22"/>
  <c r="M162" i="22" s="1"/>
  <c r="M219" i="22" s="1"/>
  <c r="M276" i="22" s="1"/>
  <c r="M333" i="22" s="1"/>
  <c r="L105" i="22"/>
  <c r="L162" i="22" s="1"/>
  <c r="L219" i="22" s="1"/>
  <c r="L276" i="22" s="1"/>
  <c r="L333" i="22" s="1"/>
  <c r="I105" i="22"/>
  <c r="I162" i="22" s="1"/>
  <c r="I219" i="22" s="1"/>
  <c r="I276" i="22" s="1"/>
  <c r="I333" i="22" s="1"/>
  <c r="G105" i="22"/>
  <c r="G162" i="22" s="1"/>
  <c r="G219" i="22" s="1"/>
  <c r="G276" i="22" s="1"/>
  <c r="G333" i="22" s="1"/>
  <c r="F105" i="22"/>
  <c r="F162" i="22" s="1"/>
  <c r="F219" i="22" s="1"/>
  <c r="F276" i="22" s="1"/>
  <c r="F333" i="22" s="1"/>
  <c r="E105" i="22"/>
  <c r="E162" i="22" s="1"/>
  <c r="E219" i="22" s="1"/>
  <c r="E276" i="22" s="1"/>
  <c r="E333" i="22" s="1"/>
  <c r="C105" i="22"/>
  <c r="C162" i="22" s="1"/>
  <c r="C219" i="22" s="1"/>
  <c r="C276" i="22" s="1"/>
  <c r="C333" i="22" s="1"/>
  <c r="N104" i="22"/>
  <c r="N161" i="22" s="1"/>
  <c r="N218" i="22" s="1"/>
  <c r="N275" i="22" s="1"/>
  <c r="N332" i="22" s="1"/>
  <c r="M104" i="22"/>
  <c r="M161" i="22" s="1"/>
  <c r="M218" i="22" s="1"/>
  <c r="M275" i="22" s="1"/>
  <c r="M332" i="22" s="1"/>
  <c r="L104" i="22"/>
  <c r="L161" i="22" s="1"/>
  <c r="L218" i="22" s="1"/>
  <c r="L275" i="22" s="1"/>
  <c r="L332" i="22" s="1"/>
  <c r="K104" i="22"/>
  <c r="K161" i="22" s="1"/>
  <c r="K218" i="22" s="1"/>
  <c r="K275" i="22" s="1"/>
  <c r="K332" i="22" s="1"/>
  <c r="J104" i="22"/>
  <c r="J161" i="22" s="1"/>
  <c r="J218" i="22" s="1"/>
  <c r="J275" i="22" s="1"/>
  <c r="J332" i="22" s="1"/>
  <c r="I104" i="22"/>
  <c r="I161" i="22" s="1"/>
  <c r="I218" i="22" s="1"/>
  <c r="I275" i="22" s="1"/>
  <c r="I332" i="22" s="1"/>
  <c r="H104" i="22"/>
  <c r="H161" i="22" s="1"/>
  <c r="H218" i="22" s="1"/>
  <c r="H275" i="22" s="1"/>
  <c r="H332" i="22" s="1"/>
  <c r="G104" i="22"/>
  <c r="G161" i="22" s="1"/>
  <c r="G218" i="22" s="1"/>
  <c r="G275" i="22" s="1"/>
  <c r="G332" i="22" s="1"/>
  <c r="F104" i="22"/>
  <c r="F161" i="22" s="1"/>
  <c r="F218" i="22" s="1"/>
  <c r="F275" i="22" s="1"/>
  <c r="F332" i="22" s="1"/>
  <c r="E104" i="22"/>
  <c r="E161" i="22" s="1"/>
  <c r="E218" i="22" s="1"/>
  <c r="E275" i="22" s="1"/>
  <c r="E332" i="22" s="1"/>
  <c r="D104" i="22"/>
  <c r="D161" i="22" s="1"/>
  <c r="D218" i="22" s="1"/>
  <c r="D275" i="22" s="1"/>
  <c r="D332" i="22" s="1"/>
  <c r="C104" i="22"/>
  <c r="C161" i="22" s="1"/>
  <c r="C218" i="22" s="1"/>
  <c r="C275" i="22" s="1"/>
  <c r="C332" i="22" s="1"/>
  <c r="H74" i="22"/>
  <c r="H131" i="22" s="1"/>
  <c r="H188" i="22" s="1"/>
  <c r="H245" i="22" s="1"/>
  <c r="H302" i="22" s="1"/>
  <c r="I74" i="22"/>
  <c r="I131" i="22" s="1"/>
  <c r="I188" i="22" s="1"/>
  <c r="I245" i="22" s="1"/>
  <c r="I302" i="22" s="1"/>
  <c r="C62" i="22"/>
  <c r="C119" i="22" s="1"/>
  <c r="C176" i="22" s="1"/>
  <c r="C233" i="22" s="1"/>
  <c r="C290" i="22" s="1"/>
  <c r="C63" i="22"/>
  <c r="C120" i="22" s="1"/>
  <c r="C177" i="22" s="1"/>
  <c r="C234" i="22" s="1"/>
  <c r="C291" i="22" s="1"/>
  <c r="C64" i="22"/>
  <c r="C121" i="22" s="1"/>
  <c r="C178" i="22" s="1"/>
  <c r="C235" i="22" s="1"/>
  <c r="C292" i="22" s="1"/>
  <c r="C65" i="22"/>
  <c r="C122" i="22" s="1"/>
  <c r="C179" i="22" s="1"/>
  <c r="C236" i="22" s="1"/>
  <c r="C293" i="22" s="1"/>
  <c r="C66" i="22"/>
  <c r="C123" i="22" s="1"/>
  <c r="C180" i="22" s="1"/>
  <c r="C237" i="22" s="1"/>
  <c r="C294" i="22" s="1"/>
  <c r="C67" i="22"/>
  <c r="C124" i="22" s="1"/>
  <c r="C181" i="22" s="1"/>
  <c r="C238" i="22" s="1"/>
  <c r="C295" i="22" s="1"/>
  <c r="C68" i="22"/>
  <c r="C125" i="22" s="1"/>
  <c r="C182" i="22" s="1"/>
  <c r="C239" i="22" s="1"/>
  <c r="C296" i="22" s="1"/>
  <c r="C69" i="22"/>
  <c r="C126" i="22" s="1"/>
  <c r="C183" i="22" s="1"/>
  <c r="C240" i="22" s="1"/>
  <c r="C297" i="22" s="1"/>
  <c r="C70" i="22"/>
  <c r="C127" i="22" s="1"/>
  <c r="C184" i="22" s="1"/>
  <c r="C241" i="22" s="1"/>
  <c r="C298" i="22" s="1"/>
  <c r="C72" i="22"/>
  <c r="C129" i="22" s="1"/>
  <c r="C186" i="22" s="1"/>
  <c r="C243" i="22" s="1"/>
  <c r="C300" i="22" s="1"/>
  <c r="E64" i="22"/>
  <c r="E121" i="22" s="1"/>
  <c r="E178" i="22" s="1"/>
  <c r="E235" i="22" s="1"/>
  <c r="E292" i="22" s="1"/>
  <c r="E65" i="22"/>
  <c r="E122" i="22" s="1"/>
  <c r="E179" i="22" s="1"/>
  <c r="E236" i="22" s="1"/>
  <c r="E293" i="22" s="1"/>
  <c r="E66" i="22"/>
  <c r="E123" i="22" s="1"/>
  <c r="E180" i="22" s="1"/>
  <c r="E237" i="22" s="1"/>
  <c r="E294" i="22" s="1"/>
  <c r="E67" i="22"/>
  <c r="E124" i="22" s="1"/>
  <c r="E181" i="22" s="1"/>
  <c r="E238" i="22" s="1"/>
  <c r="E295" i="22" s="1"/>
  <c r="E68" i="22"/>
  <c r="E125" i="22" s="1"/>
  <c r="E182" i="22" s="1"/>
  <c r="E239" i="22" s="1"/>
  <c r="E296" i="22" s="1"/>
  <c r="E69" i="22"/>
  <c r="E126" i="22" s="1"/>
  <c r="E183" i="22" s="1"/>
  <c r="E240" i="22" s="1"/>
  <c r="E297" i="22" s="1"/>
  <c r="D70" i="22"/>
  <c r="D127" i="22" s="1"/>
  <c r="D184" i="22" s="1"/>
  <c r="D241" i="22" s="1"/>
  <c r="D298" i="22" s="1"/>
  <c r="E70" i="22"/>
  <c r="E127" i="22" s="1"/>
  <c r="E184" i="22" s="1"/>
  <c r="E241" i="22" s="1"/>
  <c r="E298" i="22" s="1"/>
  <c r="D71" i="22"/>
  <c r="D128" i="22" s="1"/>
  <c r="D185" i="22" s="1"/>
  <c r="D242" i="22" s="1"/>
  <c r="D299" i="22" s="1"/>
  <c r="E71" i="22"/>
  <c r="E128" i="22" s="1"/>
  <c r="E185" i="22" s="1"/>
  <c r="E242" i="22" s="1"/>
  <c r="E299" i="22" s="1"/>
  <c r="E72" i="22"/>
  <c r="E129" i="22" s="1"/>
  <c r="E186" i="22" s="1"/>
  <c r="E243" i="22" s="1"/>
  <c r="E300" i="22" s="1"/>
  <c r="B69" i="22"/>
  <c r="B126" i="22" s="1"/>
  <c r="B183" i="22" s="1"/>
  <c r="B240" i="22" s="1"/>
  <c r="B297" i="22" s="1"/>
  <c r="B70" i="22"/>
  <c r="B127" i="22" s="1"/>
  <c r="B184" i="22" s="1"/>
  <c r="B241" i="22" s="1"/>
  <c r="B298" i="22" s="1"/>
  <c r="B71" i="22"/>
  <c r="B128" i="22" s="1"/>
  <c r="B185" i="22" s="1"/>
  <c r="B242" i="22" s="1"/>
  <c r="B299" i="22" s="1"/>
  <c r="B72" i="22"/>
  <c r="B129" i="22" s="1"/>
  <c r="B186" i="22" s="1"/>
  <c r="B243" i="22" s="1"/>
  <c r="B300" i="22" s="1"/>
  <c r="B68" i="22"/>
  <c r="B125" i="22" s="1"/>
  <c r="B182" i="22" s="1"/>
  <c r="B239" i="22" s="1"/>
  <c r="B296" i="22" s="1"/>
  <c r="F68" i="22"/>
  <c r="F125" i="22" s="1"/>
  <c r="F182" i="22" s="1"/>
  <c r="F239" i="22" s="1"/>
  <c r="F296" i="22" s="1"/>
  <c r="G68" i="22"/>
  <c r="G125" i="22" s="1"/>
  <c r="G182" i="22" s="1"/>
  <c r="G239" i="22" s="1"/>
  <c r="G296" i="22" s="1"/>
  <c r="H68" i="22"/>
  <c r="H125" i="22" s="1"/>
  <c r="H182" i="22" s="1"/>
  <c r="H239" i="22" s="1"/>
  <c r="H296" i="22" s="1"/>
  <c r="I68" i="22"/>
  <c r="I125" i="22" s="1"/>
  <c r="I182" i="22" s="1"/>
  <c r="I239" i="22" s="1"/>
  <c r="I296" i="22" s="1"/>
  <c r="J68" i="22"/>
  <c r="J125" i="22" s="1"/>
  <c r="J182" i="22" s="1"/>
  <c r="J239" i="22" s="1"/>
  <c r="J296" i="22" s="1"/>
  <c r="K68" i="22"/>
  <c r="K125" i="22" s="1"/>
  <c r="K182" i="22" s="1"/>
  <c r="K239" i="22" s="1"/>
  <c r="K296" i="22" s="1"/>
  <c r="L68" i="22"/>
  <c r="L125" i="22" s="1"/>
  <c r="L182" i="22" s="1"/>
  <c r="L239" i="22" s="1"/>
  <c r="L296" i="22" s="1"/>
  <c r="F69" i="22"/>
  <c r="F126" i="22" s="1"/>
  <c r="F183" i="22" s="1"/>
  <c r="F240" i="22" s="1"/>
  <c r="F297" i="22" s="1"/>
  <c r="G69" i="22"/>
  <c r="G126" i="22" s="1"/>
  <c r="G183" i="22" s="1"/>
  <c r="G240" i="22" s="1"/>
  <c r="G297" i="22" s="1"/>
  <c r="H69" i="22"/>
  <c r="H126" i="22" s="1"/>
  <c r="H183" i="22" s="1"/>
  <c r="H240" i="22" s="1"/>
  <c r="H297" i="22" s="1"/>
  <c r="I69" i="22"/>
  <c r="I126" i="22" s="1"/>
  <c r="I183" i="22" s="1"/>
  <c r="I240" i="22" s="1"/>
  <c r="I297" i="22" s="1"/>
  <c r="J69" i="22"/>
  <c r="J126" i="22" s="1"/>
  <c r="J183" i="22" s="1"/>
  <c r="J240" i="22" s="1"/>
  <c r="J297" i="22" s="1"/>
  <c r="K69" i="22"/>
  <c r="K126" i="22" s="1"/>
  <c r="K183" i="22" s="1"/>
  <c r="K240" i="22" s="1"/>
  <c r="K297" i="22" s="1"/>
  <c r="L69" i="22"/>
  <c r="L126" i="22" s="1"/>
  <c r="L183" i="22" s="1"/>
  <c r="L240" i="22" s="1"/>
  <c r="L297" i="22" s="1"/>
  <c r="F70" i="22"/>
  <c r="F127" i="22" s="1"/>
  <c r="F184" i="22" s="1"/>
  <c r="F241" i="22" s="1"/>
  <c r="F298" i="22" s="1"/>
  <c r="G70" i="22"/>
  <c r="G127" i="22" s="1"/>
  <c r="G184" i="22" s="1"/>
  <c r="G241" i="22" s="1"/>
  <c r="G298" i="22" s="1"/>
  <c r="H70" i="22"/>
  <c r="H127" i="22" s="1"/>
  <c r="H184" i="22" s="1"/>
  <c r="H241" i="22" s="1"/>
  <c r="H298" i="22" s="1"/>
  <c r="I70" i="22"/>
  <c r="I127" i="22" s="1"/>
  <c r="I184" i="22" s="1"/>
  <c r="I241" i="22" s="1"/>
  <c r="I298" i="22" s="1"/>
  <c r="J70" i="22"/>
  <c r="J127" i="22" s="1"/>
  <c r="J184" i="22" s="1"/>
  <c r="J241" i="22" s="1"/>
  <c r="J298" i="22" s="1"/>
  <c r="K70" i="22"/>
  <c r="K127" i="22" s="1"/>
  <c r="K184" i="22" s="1"/>
  <c r="K241" i="22" s="1"/>
  <c r="K298" i="22" s="1"/>
  <c r="L70" i="22"/>
  <c r="L127" i="22" s="1"/>
  <c r="L184" i="22" s="1"/>
  <c r="L241" i="22" s="1"/>
  <c r="L298" i="22" s="1"/>
  <c r="F71" i="22"/>
  <c r="F128" i="22" s="1"/>
  <c r="F185" i="22" s="1"/>
  <c r="F242" i="22" s="1"/>
  <c r="F299" i="22" s="1"/>
  <c r="G71" i="22"/>
  <c r="G128" i="22" s="1"/>
  <c r="G185" i="22" s="1"/>
  <c r="G242" i="22" s="1"/>
  <c r="G299" i="22" s="1"/>
  <c r="H71" i="22"/>
  <c r="H128" i="22" s="1"/>
  <c r="H185" i="22" s="1"/>
  <c r="H242" i="22" s="1"/>
  <c r="H299" i="22" s="1"/>
  <c r="I71" i="22"/>
  <c r="I128" i="22" s="1"/>
  <c r="I185" i="22" s="1"/>
  <c r="I242" i="22" s="1"/>
  <c r="I299" i="22" s="1"/>
  <c r="J71" i="22"/>
  <c r="J128" i="22" s="1"/>
  <c r="J185" i="22" s="1"/>
  <c r="J242" i="22" s="1"/>
  <c r="J299" i="22" s="1"/>
  <c r="K71" i="22"/>
  <c r="K128" i="22" s="1"/>
  <c r="K185" i="22" s="1"/>
  <c r="K242" i="22" s="1"/>
  <c r="K299" i="22" s="1"/>
  <c r="L71" i="22"/>
  <c r="L128" i="22" s="1"/>
  <c r="L185" i="22" s="1"/>
  <c r="L242" i="22" s="1"/>
  <c r="L299" i="22" s="1"/>
  <c r="J59" i="22"/>
  <c r="C93" i="22"/>
  <c r="C150" i="22" s="1"/>
  <c r="C207" i="22" s="1"/>
  <c r="C94" i="22"/>
  <c r="C151" i="22" s="1"/>
  <c r="C208" i="22" s="1"/>
  <c r="C265" i="22" s="1"/>
  <c r="C322" i="22" s="1"/>
  <c r="C95" i="22"/>
  <c r="C152" i="22" s="1"/>
  <c r="C209" i="22" s="1"/>
  <c r="C266" i="22" s="1"/>
  <c r="C323" i="22" s="1"/>
  <c r="C96" i="22"/>
  <c r="C153" i="22" s="1"/>
  <c r="C210" i="22" s="1"/>
  <c r="C267" i="22" s="1"/>
  <c r="C324" i="22" s="1"/>
  <c r="C97" i="22"/>
  <c r="C154" i="22" s="1"/>
  <c r="C211" i="22" s="1"/>
  <c r="C268" i="22" s="1"/>
  <c r="C325" i="22" s="1"/>
  <c r="C98" i="22"/>
  <c r="C155" i="22" s="1"/>
  <c r="C212" i="22" s="1"/>
  <c r="C269" i="22" s="1"/>
  <c r="C326" i="22" s="1"/>
  <c r="D98" i="22"/>
  <c r="D155" i="22" s="1"/>
  <c r="D212" i="22" s="1"/>
  <c r="D269" i="22" s="1"/>
  <c r="D326" i="22" s="1"/>
  <c r="E98" i="22"/>
  <c r="E155" i="22" s="1"/>
  <c r="E212" i="22" s="1"/>
  <c r="E269" i="22" s="1"/>
  <c r="E326" i="22" s="1"/>
  <c r="F98" i="22"/>
  <c r="F155" i="22" s="1"/>
  <c r="F212" i="22" s="1"/>
  <c r="F269" i="22" s="1"/>
  <c r="F326" i="22" s="1"/>
  <c r="G98" i="22"/>
  <c r="G155" i="22" s="1"/>
  <c r="G212" i="22" s="1"/>
  <c r="G269" i="22" s="1"/>
  <c r="G326" i="22" s="1"/>
  <c r="C75" i="22"/>
  <c r="C76" i="22"/>
  <c r="C133" i="22" s="1"/>
  <c r="C86" i="22"/>
  <c r="C87" i="22"/>
  <c r="C144" i="22" s="1"/>
  <c r="C201" i="22" s="1"/>
  <c r="C258" i="22" s="1"/>
  <c r="C315" i="22" s="1"/>
  <c r="C88" i="22"/>
  <c r="C145" i="22" s="1"/>
  <c r="C202" i="22" s="1"/>
  <c r="C259" i="22" s="1"/>
  <c r="C316" i="22" s="1"/>
  <c r="C89" i="22"/>
  <c r="C146" i="22" s="1"/>
  <c r="C203" i="22" s="1"/>
  <c r="C260" i="22" s="1"/>
  <c r="C317" i="22" s="1"/>
  <c r="C90" i="22"/>
  <c r="C147" i="22" s="1"/>
  <c r="C91" i="22"/>
  <c r="C148" i="22" s="1"/>
  <c r="C92" i="22"/>
  <c r="C149" i="22" s="1"/>
  <c r="C206" i="22" s="1"/>
  <c r="C263" i="22" s="1"/>
  <c r="C320" i="22" s="1"/>
  <c r="D74" i="22"/>
  <c r="D131" i="22" s="1"/>
  <c r="D188" i="22" s="1"/>
  <c r="D245" i="22" s="1"/>
  <c r="D302" i="22" s="1"/>
  <c r="E74" i="22"/>
  <c r="E131" i="22" s="1"/>
  <c r="E188" i="22" s="1"/>
  <c r="E245" i="22" s="1"/>
  <c r="E302" i="22" s="1"/>
  <c r="F74" i="22"/>
  <c r="F131" i="22" s="1"/>
  <c r="F188" i="22" s="1"/>
  <c r="F245" i="22" s="1"/>
  <c r="F302" i="22" s="1"/>
  <c r="G74" i="22"/>
  <c r="G131" i="22" s="1"/>
  <c r="G188" i="22" s="1"/>
  <c r="G245" i="22" s="1"/>
  <c r="G302" i="22" s="1"/>
  <c r="H88" i="22"/>
  <c r="H145" i="22" s="1"/>
  <c r="H202" i="22" s="1"/>
  <c r="H259" i="22" s="1"/>
  <c r="H316" i="22" s="1"/>
  <c r="I88" i="22"/>
  <c r="I145" i="22" s="1"/>
  <c r="I202" i="22" s="1"/>
  <c r="I259" i="22" s="1"/>
  <c r="I316" i="22" s="1"/>
  <c r="J88" i="22"/>
  <c r="K88" i="22"/>
  <c r="K145" i="22" s="1"/>
  <c r="K202" i="22" s="1"/>
  <c r="K259" i="22" s="1"/>
  <c r="K316" i="22" s="1"/>
  <c r="M88" i="22"/>
  <c r="M145" i="22" s="1"/>
  <c r="M202" i="22" s="1"/>
  <c r="M259" i="22" s="1"/>
  <c r="M316" i="22" s="1"/>
  <c r="H87" i="22"/>
  <c r="H144" i="22" s="1"/>
  <c r="H201" i="22" s="1"/>
  <c r="H258" i="22" s="1"/>
  <c r="H315" i="22" s="1"/>
  <c r="I87" i="22"/>
  <c r="I144" i="22" s="1"/>
  <c r="I201" i="22" s="1"/>
  <c r="I258" i="22" s="1"/>
  <c r="I315" i="22" s="1"/>
  <c r="M87" i="22"/>
  <c r="M144" i="22" s="1"/>
  <c r="M201" i="22" s="1"/>
  <c r="M258" i="22" s="1"/>
  <c r="M315" i="22" s="1"/>
  <c r="H89" i="22"/>
  <c r="H146" i="22" s="1"/>
  <c r="H203" i="22" s="1"/>
  <c r="H260" i="22" s="1"/>
  <c r="H317" i="22" s="1"/>
  <c r="I89" i="22"/>
  <c r="I146" i="22" s="1"/>
  <c r="I203" i="22" s="1"/>
  <c r="I260" i="22" s="1"/>
  <c r="I317" i="22" s="1"/>
  <c r="H99" i="22"/>
  <c r="H156" i="22" s="1"/>
  <c r="H213" i="22" s="1"/>
  <c r="H270" i="22" s="1"/>
  <c r="H327" i="22" s="1"/>
  <c r="I99" i="22"/>
  <c r="I156" i="22" s="1"/>
  <c r="I213" i="22" s="1"/>
  <c r="I270" i="22" s="1"/>
  <c r="I327" i="22" s="1"/>
  <c r="B87" i="22"/>
  <c r="B144" i="22" s="1"/>
  <c r="B201" i="22" s="1"/>
  <c r="B258" i="22" s="1"/>
  <c r="B315" i="22" s="1"/>
  <c r="B88" i="22"/>
  <c r="B145" i="22" s="1"/>
  <c r="B202" i="22" s="1"/>
  <c r="B259" i="22" s="1"/>
  <c r="B316" i="22" s="1"/>
  <c r="B89" i="22"/>
  <c r="B146" i="22" s="1"/>
  <c r="B203" i="22" s="1"/>
  <c r="B260" i="22" s="1"/>
  <c r="B317" i="22" s="1"/>
  <c r="B99" i="22"/>
  <c r="B156" i="22" s="1"/>
  <c r="B213" i="22" s="1"/>
  <c r="B270" i="22" s="1"/>
  <c r="B327" i="22" s="1"/>
  <c r="B102" i="22"/>
  <c r="B159" i="22" s="1"/>
  <c r="B216" i="22" s="1"/>
  <c r="B273" i="22" s="1"/>
  <c r="B330" i="22" s="1"/>
  <c r="B103" i="22"/>
  <c r="B160" i="22" s="1"/>
  <c r="B217" i="22" s="1"/>
  <c r="B274" i="22" s="1"/>
  <c r="B331" i="22" s="1"/>
  <c r="B74" i="22"/>
  <c r="B131" i="22" s="1"/>
  <c r="B188" i="22" s="1"/>
  <c r="B245" i="22" s="1"/>
  <c r="B302" i="22" s="1"/>
  <c r="C73" i="22"/>
  <c r="C130" i="22" s="1"/>
  <c r="C187" i="22" s="1"/>
  <c r="C244" i="22" s="1"/>
  <c r="C301" i="22" s="1"/>
  <c r="C74" i="22"/>
  <c r="C131" i="22" s="1"/>
  <c r="C188" i="22" s="1"/>
  <c r="C245" i="22" s="1"/>
  <c r="C302" i="22" s="1"/>
  <c r="C99" i="22"/>
  <c r="C156" i="22" s="1"/>
  <c r="C213" i="22" s="1"/>
  <c r="C270" i="22" s="1"/>
  <c r="C327" i="22" s="1"/>
  <c r="C102" i="22"/>
  <c r="C159" i="22" s="1"/>
  <c r="C216" i="22" s="1"/>
  <c r="C273" i="22" s="1"/>
  <c r="C330" i="22" s="1"/>
  <c r="C103" i="22"/>
  <c r="C160" i="22" s="1"/>
  <c r="C217" i="22" s="1"/>
  <c r="C274" i="22" s="1"/>
  <c r="C331" i="22" s="1"/>
  <c r="H72" i="22"/>
  <c r="H129" i="22" s="1"/>
  <c r="H186" i="22" s="1"/>
  <c r="H243" i="22" s="1"/>
  <c r="H300" i="22" s="1"/>
  <c r="G72" i="22"/>
  <c r="G129" i="22" s="1"/>
  <c r="G186" i="22" s="1"/>
  <c r="G243" i="22" s="1"/>
  <c r="G300" i="22" s="1"/>
  <c r="F72" i="22"/>
  <c r="F129" i="22" s="1"/>
  <c r="F186" i="22" s="1"/>
  <c r="F243" i="22" s="1"/>
  <c r="F300" i="22" s="1"/>
  <c r="M71" i="22"/>
  <c r="M128" i="22" s="1"/>
  <c r="M185" i="22" s="1"/>
  <c r="M242" i="22" s="1"/>
  <c r="M299" i="22" s="1"/>
  <c r="M70" i="22"/>
  <c r="M127" i="22" s="1"/>
  <c r="M184" i="22" s="1"/>
  <c r="M241" i="22" s="1"/>
  <c r="M298" i="22" s="1"/>
  <c r="G67" i="22"/>
  <c r="G124" i="22" s="1"/>
  <c r="G181" i="22" s="1"/>
  <c r="G238" i="22" s="1"/>
  <c r="G295" i="22" s="1"/>
  <c r="F67" i="22"/>
  <c r="F124" i="22" s="1"/>
  <c r="F181" i="22" s="1"/>
  <c r="F238" i="22" s="1"/>
  <c r="F295" i="22" s="1"/>
  <c r="B67" i="22"/>
  <c r="B124" i="22" s="1"/>
  <c r="B181" i="22" s="1"/>
  <c r="B238" i="22" s="1"/>
  <c r="B295" i="22" s="1"/>
  <c r="M66" i="22"/>
  <c r="M123" i="22" s="1"/>
  <c r="M180" i="22" s="1"/>
  <c r="M237" i="22" s="1"/>
  <c r="M294" i="22" s="1"/>
  <c r="G66" i="22"/>
  <c r="G123" i="22" s="1"/>
  <c r="G180" i="22" s="1"/>
  <c r="G237" i="22" s="1"/>
  <c r="G294" i="22" s="1"/>
  <c r="F66" i="22"/>
  <c r="F123" i="22" s="1"/>
  <c r="F180" i="22" s="1"/>
  <c r="F237" i="22" s="1"/>
  <c r="F294" i="22" s="1"/>
  <c r="B66" i="22"/>
  <c r="B123" i="22" s="1"/>
  <c r="B180" i="22" s="1"/>
  <c r="B237" i="22" s="1"/>
  <c r="B294" i="22" s="1"/>
  <c r="M65" i="22"/>
  <c r="M122" i="22" s="1"/>
  <c r="M179" i="22" s="1"/>
  <c r="M236" i="22" s="1"/>
  <c r="M293" i="22" s="1"/>
  <c r="G65" i="22"/>
  <c r="G122" i="22" s="1"/>
  <c r="G179" i="22" s="1"/>
  <c r="G236" i="22" s="1"/>
  <c r="G293" i="22" s="1"/>
  <c r="F65" i="22"/>
  <c r="F122" i="22" s="1"/>
  <c r="F179" i="22" s="1"/>
  <c r="F236" i="22" s="1"/>
  <c r="F293" i="22" s="1"/>
  <c r="B65" i="22"/>
  <c r="B122" i="22" s="1"/>
  <c r="B179" i="22" s="1"/>
  <c r="B236" i="22" s="1"/>
  <c r="B293" i="22" s="1"/>
  <c r="G64" i="22"/>
  <c r="G121" i="22" s="1"/>
  <c r="G178" i="22" s="1"/>
  <c r="G235" i="22" s="1"/>
  <c r="G292" i="22" s="1"/>
  <c r="F64" i="22"/>
  <c r="F121" i="22" s="1"/>
  <c r="F178" i="22" s="1"/>
  <c r="F235" i="22" s="1"/>
  <c r="F292" i="22" s="1"/>
  <c r="B64" i="22"/>
  <c r="B121" i="22" s="1"/>
  <c r="B178" i="22" s="1"/>
  <c r="B235" i="22" s="1"/>
  <c r="B292" i="22" s="1"/>
  <c r="B5" i="39"/>
  <c r="B4" i="39"/>
  <c r="B3" i="39"/>
  <c r="Q219" i="38"/>
  <c r="Q217" i="38"/>
  <c r="Q216" i="38"/>
  <c r="Q241" i="38"/>
  <c r="Q240" i="38"/>
  <c r="Q238" i="38"/>
  <c r="Q237" i="38"/>
  <c r="Q236" i="38"/>
  <c r="Q235" i="38"/>
  <c r="Q233" i="38"/>
  <c r="Q232" i="38"/>
  <c r="Q231" i="38"/>
  <c r="Q230" i="38"/>
  <c r="Q229" i="38"/>
  <c r="Q228" i="38"/>
  <c r="Q227" i="38"/>
  <c r="Q226" i="38"/>
  <c r="Q225" i="38"/>
  <c r="J173" i="54" s="1"/>
  <c r="Q224" i="38"/>
  <c r="Q222" i="38"/>
  <c r="Q221" i="38"/>
  <c r="Q220" i="38"/>
  <c r="L241" i="38"/>
  <c r="L240" i="38"/>
  <c r="L238" i="38"/>
  <c r="L237" i="38"/>
  <c r="L236" i="38"/>
  <c r="L235" i="38"/>
  <c r="L233" i="38"/>
  <c r="L232" i="38"/>
  <c r="L231" i="38"/>
  <c r="L230" i="38"/>
  <c r="L229" i="38"/>
  <c r="L228" i="38"/>
  <c r="L227" i="38"/>
  <c r="L226" i="38"/>
  <c r="L225" i="38"/>
  <c r="L224" i="38"/>
  <c r="L222" i="38"/>
  <c r="L221" i="38"/>
  <c r="L220" i="38"/>
  <c r="L219" i="38"/>
  <c r="L217" i="38"/>
  <c r="L216" i="38"/>
  <c r="L215" i="38"/>
  <c r="L214" i="38"/>
  <c r="I241" i="38"/>
  <c r="I240" i="38"/>
  <c r="I238" i="38"/>
  <c r="I237" i="38"/>
  <c r="I236" i="38"/>
  <c r="I235" i="38"/>
  <c r="I233" i="38"/>
  <c r="I232" i="38"/>
  <c r="I231" i="38"/>
  <c r="I230" i="38"/>
  <c r="I229" i="38"/>
  <c r="I228" i="38"/>
  <c r="I227" i="38"/>
  <c r="I226" i="38"/>
  <c r="I225" i="38"/>
  <c r="I224" i="38"/>
  <c r="J192" i="22" s="1"/>
  <c r="K192" i="22" s="1"/>
  <c r="I222" i="38"/>
  <c r="I221" i="38"/>
  <c r="I220" i="38"/>
  <c r="C241" i="38"/>
  <c r="C240" i="38"/>
  <c r="C238" i="38"/>
  <c r="C237" i="38"/>
  <c r="C236" i="38"/>
  <c r="C235" i="38"/>
  <c r="C233" i="38"/>
  <c r="C232" i="38"/>
  <c r="C231" i="38"/>
  <c r="C230" i="38"/>
  <c r="C229" i="38"/>
  <c r="C228" i="38"/>
  <c r="C227" i="38"/>
  <c r="C226" i="38"/>
  <c r="C225" i="38"/>
  <c r="C224" i="38"/>
  <c r="C222" i="38"/>
  <c r="C221" i="38"/>
  <c r="C220" i="38"/>
  <c r="C219" i="38"/>
  <c r="C217" i="38"/>
  <c r="C216" i="38"/>
  <c r="C215" i="38"/>
  <c r="C214" i="38"/>
  <c r="L98" i="22"/>
  <c r="L155" i="22" s="1"/>
  <c r="L212" i="22" s="1"/>
  <c r="L269" i="22" s="1"/>
  <c r="L326" i="22" s="1"/>
  <c r="I98" i="22"/>
  <c r="I155" i="22" s="1"/>
  <c r="I212" i="22" s="1"/>
  <c r="I269" i="22" s="1"/>
  <c r="I326" i="22" s="1"/>
  <c r="H98" i="22"/>
  <c r="H155" i="22" s="1"/>
  <c r="H212" i="22" s="1"/>
  <c r="H269" i="22" s="1"/>
  <c r="H326" i="22" s="1"/>
  <c r="B98" i="22"/>
  <c r="B155" i="22" s="1"/>
  <c r="B212" i="22" s="1"/>
  <c r="B269" i="22" s="1"/>
  <c r="B326" i="22" s="1"/>
  <c r="C23" i="51" a="1"/>
  <c r="C23" i="51" s="1"/>
  <c r="I23" i="51" s="1"/>
  <c r="C25" i="48" a="1"/>
  <c r="C25" i="48" s="1"/>
  <c r="I137" i="38"/>
  <c r="I136" i="38"/>
  <c r="I134" i="38"/>
  <c r="I133" i="38"/>
  <c r="I132" i="38"/>
  <c r="I131" i="38"/>
  <c r="I129" i="38"/>
  <c r="I128" i="38"/>
  <c r="I127" i="38"/>
  <c r="I126" i="38"/>
  <c r="I125" i="38"/>
  <c r="I124" i="38"/>
  <c r="I123" i="38"/>
  <c r="I122" i="38"/>
  <c r="I121" i="38"/>
  <c r="I120" i="38"/>
  <c r="J135" i="22" s="1"/>
  <c r="K135" i="22" s="1"/>
  <c r="I118" i="38"/>
  <c r="I117" i="38"/>
  <c r="I116" i="38"/>
  <c r="C137" i="38"/>
  <c r="C136" i="38"/>
  <c r="C134" i="38"/>
  <c r="C133" i="38"/>
  <c r="C132" i="38"/>
  <c r="C131" i="38"/>
  <c r="C129" i="38"/>
  <c r="C128" i="38"/>
  <c r="C127" i="38"/>
  <c r="C126" i="38"/>
  <c r="C125" i="38"/>
  <c r="C124" i="38"/>
  <c r="C123" i="38"/>
  <c r="C122" i="38"/>
  <c r="C121" i="38"/>
  <c r="C120" i="38"/>
  <c r="C118" i="38"/>
  <c r="C117" i="38"/>
  <c r="C116" i="38"/>
  <c r="C115" i="38"/>
  <c r="C113" i="38"/>
  <c r="C112" i="38"/>
  <c r="C111" i="38"/>
  <c r="I424" i="38"/>
  <c r="I425" i="38"/>
  <c r="I426" i="38"/>
  <c r="C110" i="38"/>
  <c r="B36" i="41"/>
  <c r="J36" i="54" l="1" a="1"/>
  <c r="J36" i="54" s="1"/>
  <c r="K36" i="54" s="1"/>
  <c r="K173" i="54"/>
  <c r="C273" i="54"/>
  <c r="K223" i="54"/>
  <c r="J236" i="54"/>
  <c r="K236" i="54" s="1"/>
  <c r="J136" i="54"/>
  <c r="K136" i="54" s="1"/>
  <c r="J186" i="54"/>
  <c r="K186" i="54" s="1"/>
  <c r="K86" i="54"/>
  <c r="J145" i="22"/>
  <c r="J202" i="22" s="1"/>
  <c r="J259" i="22" s="1"/>
  <c r="J316" i="22" s="1"/>
  <c r="K42" i="56"/>
  <c r="K42" i="55"/>
  <c r="J133" i="22"/>
  <c r="J168" i="54"/>
  <c r="K168" i="54" s="1"/>
  <c r="J118" i="54"/>
  <c r="K118" i="54" s="1"/>
  <c r="E247" i="22"/>
  <c r="C222" i="54"/>
  <c r="J222" i="54" s="1"/>
  <c r="K222" i="54" s="1"/>
  <c r="K172" i="54"/>
  <c r="C143" i="22"/>
  <c r="C169" i="54"/>
  <c r="J119" i="54"/>
  <c r="K119" i="54" s="1"/>
  <c r="B119" i="54"/>
  <c r="B116" i="54"/>
  <c r="K70" i="54"/>
  <c r="J171" i="54"/>
  <c r="K171" i="54" s="1"/>
  <c r="E221" i="54"/>
  <c r="E269" i="54"/>
  <c r="E220" i="54"/>
  <c r="J170" i="54"/>
  <c r="K170" i="54" s="1"/>
  <c r="I32" i="41"/>
  <c r="J76" i="22"/>
  <c r="C264" i="22"/>
  <c r="C321" i="22" s="1"/>
  <c r="C190" i="22"/>
  <c r="J190" i="22" s="1"/>
  <c r="C132" i="22"/>
  <c r="C205" i="22"/>
  <c r="C204" i="22"/>
  <c r="H23" i="51"/>
  <c r="J273" i="54" l="1"/>
  <c r="D12" i="56"/>
  <c r="D12" i="55"/>
  <c r="E304" i="22"/>
  <c r="C272" i="54"/>
  <c r="J272" i="54" s="1"/>
  <c r="C200" i="22"/>
  <c r="J221" i="54"/>
  <c r="E271" i="54"/>
  <c r="J271" i="54" s="1"/>
  <c r="K271" i="54" s="1"/>
  <c r="C219" i="54"/>
  <c r="J169" i="54"/>
  <c r="K169" i="54" s="1"/>
  <c r="E270" i="54"/>
  <c r="J270" i="54" s="1"/>
  <c r="K270" i="54" s="1"/>
  <c r="J220" i="54"/>
  <c r="B166" i="54"/>
  <c r="B169" i="54"/>
  <c r="C247" i="22"/>
  <c r="J247" i="22" s="1"/>
  <c r="C189" i="22"/>
  <c r="C262" i="22"/>
  <c r="C319" i="22" s="1"/>
  <c r="C261" i="22"/>
  <c r="C318" i="22" s="1"/>
  <c r="H36" i="41"/>
  <c r="I36" i="41"/>
  <c r="L36" i="41"/>
  <c r="C24" i="53"/>
  <c r="D24" i="53" s="1"/>
  <c r="C23" i="53"/>
  <c r="G23" i="53" s="1"/>
  <c r="C22" i="53"/>
  <c r="D22" i="53" s="1"/>
  <c r="C21" i="53"/>
  <c r="F21" i="53" s="1"/>
  <c r="J19" i="47"/>
  <c r="H19" i="47"/>
  <c r="I19" i="47" s="1" a="1"/>
  <c r="I19" i="47" s="1"/>
  <c r="J35" i="46"/>
  <c r="H105" i="22"/>
  <c r="H162" i="22" s="1"/>
  <c r="H219" i="22" s="1"/>
  <c r="H276" i="22" s="1"/>
  <c r="H333" i="22" s="1"/>
  <c r="I35" i="46"/>
  <c r="B20" i="48"/>
  <c r="B22" i="48"/>
  <c r="B25" i="41"/>
  <c r="B21" i="41"/>
  <c r="H36" i="46"/>
  <c r="I445" i="38"/>
  <c r="I444" i="38"/>
  <c r="I442" i="38"/>
  <c r="I441" i="38"/>
  <c r="I440" i="38"/>
  <c r="I439" i="38"/>
  <c r="I437" i="38"/>
  <c r="I436" i="38"/>
  <c r="I435" i="38"/>
  <c r="I434" i="38"/>
  <c r="I433" i="38"/>
  <c r="I432" i="38"/>
  <c r="I431" i="38"/>
  <c r="I430" i="38"/>
  <c r="I429" i="38"/>
  <c r="I428" i="38"/>
  <c r="J306" i="22" s="1"/>
  <c r="C445" i="38"/>
  <c r="C444" i="38"/>
  <c r="C442" i="38"/>
  <c r="C441" i="38"/>
  <c r="C440" i="38"/>
  <c r="C439" i="38"/>
  <c r="C437" i="38"/>
  <c r="C436" i="38"/>
  <c r="C435" i="38"/>
  <c r="C434" i="38"/>
  <c r="C433" i="38"/>
  <c r="C432" i="38"/>
  <c r="C431" i="38"/>
  <c r="C430" i="38"/>
  <c r="C429" i="38"/>
  <c r="C428" i="38"/>
  <c r="C426" i="38"/>
  <c r="C425" i="38"/>
  <c r="C424" i="38"/>
  <c r="C423" i="38"/>
  <c r="C422" i="38"/>
  <c r="J32" i="41"/>
  <c r="J31" i="41"/>
  <c r="H16" i="41"/>
  <c r="F16" i="41"/>
  <c r="D16" i="41"/>
  <c r="D15" i="41"/>
  <c r="D11" i="41"/>
  <c r="B37" i="48"/>
  <c r="J37" i="48"/>
  <c r="L37" i="48"/>
  <c r="I37" i="48"/>
  <c r="H37" i="48"/>
  <c r="K272" i="54" l="1"/>
  <c r="J22" i="54" a="1"/>
  <c r="J22" i="54" s="1"/>
  <c r="J21" i="22" a="1"/>
  <c r="J21" i="22" s="1"/>
  <c r="K21" i="22" s="1"/>
  <c r="K306" i="22"/>
  <c r="K273" i="54"/>
  <c r="J23" i="54" a="1"/>
  <c r="J23" i="54" s="1"/>
  <c r="C257" i="22"/>
  <c r="K37" i="48"/>
  <c r="K221" i="54"/>
  <c r="J21" i="54" a="1"/>
  <c r="J21" i="54" s="1"/>
  <c r="K21" i="54" s="1"/>
  <c r="K220" i="54"/>
  <c r="J20" i="54" a="1"/>
  <c r="J20" i="54" s="1"/>
  <c r="K20" i="54" s="1"/>
  <c r="J268" i="54"/>
  <c r="C269" i="54"/>
  <c r="J269" i="54" s="1"/>
  <c r="K269" i="54" s="1"/>
  <c r="J219" i="54"/>
  <c r="B216" i="54"/>
  <c r="B219" i="54"/>
  <c r="C304" i="22"/>
  <c r="J304" i="22" s="1"/>
  <c r="J19" i="22" s="1" a="1"/>
  <c r="J19" i="22" s="1"/>
  <c r="C246" i="22"/>
  <c r="C303" i="22" s="1"/>
  <c r="F23" i="53"/>
  <c r="E23" i="53"/>
  <c r="G24" i="53"/>
  <c r="D23" i="53"/>
  <c r="E24" i="53"/>
  <c r="G22" i="53"/>
  <c r="F24" i="53"/>
  <c r="F22" i="53"/>
  <c r="E22" i="53"/>
  <c r="E21" i="53"/>
  <c r="D21" i="53"/>
  <c r="G21" i="53"/>
  <c r="J25" i="41"/>
  <c r="H31" i="41"/>
  <c r="I31" i="41"/>
  <c r="L26" i="47"/>
  <c r="L21" i="47"/>
  <c r="L27" i="47"/>
  <c r="L28" i="47"/>
  <c r="L29" i="47"/>
  <c r="K15" i="41"/>
  <c r="H32" i="41" s="1"/>
  <c r="J22" i="53"/>
  <c r="J24" i="53"/>
  <c r="K15" i="53"/>
  <c r="H29" i="53"/>
  <c r="K16" i="51"/>
  <c r="H16" i="51"/>
  <c r="F16" i="51"/>
  <c r="D16" i="51"/>
  <c r="K15" i="51"/>
  <c r="L15" i="51" s="1"/>
  <c r="K16" i="53"/>
  <c r="H16" i="53"/>
  <c r="F16" i="53"/>
  <c r="D16" i="53"/>
  <c r="K15" i="48"/>
  <c r="H25" i="48" s="1"/>
  <c r="K16" i="47"/>
  <c r="H16" i="47"/>
  <c r="F16" i="47"/>
  <c r="D16" i="47"/>
  <c r="K15" i="47"/>
  <c r="C20" i="47" s="1" a="1"/>
  <c r="C20" i="47" s="1"/>
  <c r="K16" i="46"/>
  <c r="H16" i="46"/>
  <c r="F16" i="46"/>
  <c r="D16" i="46"/>
  <c r="K15" i="46"/>
  <c r="C20" i="46" s="1" a="1"/>
  <c r="C20" i="46" s="1"/>
  <c r="D16" i="22"/>
  <c r="D73" i="22" s="1"/>
  <c r="D130" i="22" s="1"/>
  <c r="D187" i="22" s="1"/>
  <c r="D244" i="22" s="1"/>
  <c r="D301" i="22" s="1"/>
  <c r="I25" i="48"/>
  <c r="J20" i="47" l="1"/>
  <c r="C314" i="22"/>
  <c r="H24" i="46" a="1"/>
  <c r="H24" i="46" s="1"/>
  <c r="I24" i="46" s="1" a="1"/>
  <c r="I24" i="46" s="1"/>
  <c r="H25" i="46" a="1"/>
  <c r="H25" i="46" s="1"/>
  <c r="I25" i="46" s="1" a="1"/>
  <c r="I25" i="46" s="1"/>
  <c r="H26" i="46" a="1"/>
  <c r="H26" i="46" s="1"/>
  <c r="I26" i="46" s="1" a="1"/>
  <c r="I26" i="46" s="1"/>
  <c r="H23" i="46" a="1"/>
  <c r="H23" i="46" s="1"/>
  <c r="I23" i="46" s="1" a="1"/>
  <c r="I23" i="46" s="1"/>
  <c r="K268" i="54"/>
  <c r="J18" i="54" a="1"/>
  <c r="J18" i="54" s="1"/>
  <c r="K18" i="54" s="1"/>
  <c r="K22" i="54"/>
  <c r="K219" i="54"/>
  <c r="J19" i="54" a="1"/>
  <c r="J19" i="54" s="1"/>
  <c r="K19" i="54" s="1"/>
  <c r="B269" i="54"/>
  <c r="B266" i="54"/>
  <c r="C34" i="46" a="1"/>
  <c r="C34" i="46" s="1"/>
  <c r="H34" i="46" s="1" a="1"/>
  <c r="H34" i="46" s="1"/>
  <c r="H20" i="46" a="1"/>
  <c r="H20" i="46" s="1"/>
  <c r="H22" i="53" a="1"/>
  <c r="H22" i="53" s="1"/>
  <c r="I22" i="53" s="1" a="1"/>
  <c r="I22" i="53" s="1"/>
  <c r="H24" i="53" a="1"/>
  <c r="H24" i="53" s="1"/>
  <c r="I24" i="53" s="1" a="1"/>
  <c r="I24" i="53" s="1"/>
  <c r="L24" i="53"/>
  <c r="B24" i="53"/>
  <c r="L15" i="47"/>
  <c r="H35" i="46" a="1"/>
  <c r="H35" i="46" s="1"/>
  <c r="H28" i="46" a="1"/>
  <c r="H28" i="46" s="1"/>
  <c r="L15" i="46"/>
  <c r="L15" i="41"/>
  <c r="L15" i="53"/>
  <c r="L15" i="48"/>
  <c r="B20" i="47" l="1"/>
  <c r="I20" i="47"/>
  <c r="L20" i="47"/>
  <c r="H20" i="47" a="1"/>
  <c r="H20" i="47" s="1"/>
  <c r="K20" i="47" s="1"/>
  <c r="K25" i="46"/>
  <c r="J34" i="46"/>
  <c r="I34" i="46"/>
  <c r="K24" i="53"/>
  <c r="J21" i="53"/>
  <c r="H21" i="53" s="1"/>
  <c r="I21" i="53" s="1"/>
  <c r="L22" i="53"/>
  <c r="B22" i="53"/>
  <c r="L32" i="53"/>
  <c r="B32" i="53"/>
  <c r="L29" i="53"/>
  <c r="I29" i="53"/>
  <c r="B29" i="53"/>
  <c r="L21" i="53"/>
  <c r="B21" i="53"/>
  <c r="B20" i="53"/>
  <c r="D11" i="53"/>
  <c r="J2" i="53"/>
  <c r="H38" i="46"/>
  <c r="I38" i="46"/>
  <c r="L38" i="46"/>
  <c r="I36" i="46"/>
  <c r="L36" i="46"/>
  <c r="J23" i="51"/>
  <c r="J22" i="51"/>
  <c r="B21" i="51"/>
  <c r="D11" i="51"/>
  <c r="J2" i="51"/>
  <c r="K22" i="53" l="1"/>
  <c r="K29" i="53"/>
  <c r="K32" i="53"/>
  <c r="I22" i="51"/>
  <c r="K22" i="51"/>
  <c r="B22" i="51"/>
  <c r="L22" i="51"/>
  <c r="B23" i="51"/>
  <c r="L23" i="51"/>
  <c r="K23" i="51"/>
  <c r="L26" i="48"/>
  <c r="J25" i="48"/>
  <c r="J24" i="48"/>
  <c r="L24" i="48"/>
  <c r="I24" i="48"/>
  <c r="H24" i="48"/>
  <c r="K37" i="51" l="1"/>
  <c r="K24" i="48"/>
  <c r="K39" i="51" l="1"/>
  <c r="K41" i="51" s="1"/>
  <c r="D12" i="51" s="1"/>
  <c r="B26" i="48"/>
  <c r="B24" i="48"/>
  <c r="L22" i="48"/>
  <c r="I22" i="48"/>
  <c r="H22" i="48"/>
  <c r="L20" i="48"/>
  <c r="I20" i="48"/>
  <c r="H20" i="48"/>
  <c r="D11" i="48"/>
  <c r="J2" i="48"/>
  <c r="K19" i="47"/>
  <c r="H29" i="47"/>
  <c r="I29" i="47"/>
  <c r="H30" i="47"/>
  <c r="I30" i="47"/>
  <c r="L30" i="47"/>
  <c r="H31" i="47"/>
  <c r="I31" i="47"/>
  <c r="L31" i="47"/>
  <c r="H32" i="47"/>
  <c r="I32" i="47"/>
  <c r="L32" i="47"/>
  <c r="L33" i="47"/>
  <c r="I33" i="47"/>
  <c r="H33" i="47"/>
  <c r="L19" i="47"/>
  <c r="B19" i="47"/>
  <c r="J33" i="47"/>
  <c r="K33" i="47" s="1"/>
  <c r="D11" i="47"/>
  <c r="J2" i="47"/>
  <c r="B34" i="46"/>
  <c r="L34" i="46"/>
  <c r="I19" i="46"/>
  <c r="L35" i="46"/>
  <c r="B35" i="46"/>
  <c r="J33" i="46"/>
  <c r="J19" i="46"/>
  <c r="I33" i="46"/>
  <c r="H33" i="46"/>
  <c r="I20" i="46"/>
  <c r="L33" i="46"/>
  <c r="B33" i="46"/>
  <c r="L28" i="46"/>
  <c r="I28" i="46"/>
  <c r="B28" i="46"/>
  <c r="L30" i="46"/>
  <c r="B30" i="46"/>
  <c r="L26" i="46"/>
  <c r="B26" i="46"/>
  <c r="L24" i="46"/>
  <c r="B24" i="46"/>
  <c r="L23" i="46"/>
  <c r="B23" i="46"/>
  <c r="K41" i="46"/>
  <c r="K42" i="46" s="1"/>
  <c r="J20" i="46"/>
  <c r="B19" i="46"/>
  <c r="H19" i="46"/>
  <c r="L19" i="46"/>
  <c r="B20" i="46"/>
  <c r="L20" i="46"/>
  <c r="J38" i="46"/>
  <c r="K38" i="46" s="1"/>
  <c r="D11" i="46"/>
  <c r="C4" i="46"/>
  <c r="J2" i="46"/>
  <c r="D15" i="22"/>
  <c r="D72" i="22" s="1"/>
  <c r="D129" i="22" s="1"/>
  <c r="D186" i="22" s="1"/>
  <c r="D243" i="22" s="1"/>
  <c r="D300" i="22" s="1"/>
  <c r="I25" i="47" l="1"/>
  <c r="H25" i="47" a="1"/>
  <c r="H25" i="47" s="1"/>
  <c r="B25" i="47"/>
  <c r="L25" i="47"/>
  <c r="J41" i="54"/>
  <c r="D91" i="54"/>
  <c r="D141" i="54" s="1"/>
  <c r="D191" i="54" s="1"/>
  <c r="D241" i="54" s="1"/>
  <c r="D291" i="54" s="1"/>
  <c r="D48" i="22"/>
  <c r="D105" i="22" s="1"/>
  <c r="D162" i="22" s="1"/>
  <c r="D219" i="22" s="1"/>
  <c r="D276" i="22" s="1"/>
  <c r="D333" i="22" s="1"/>
  <c r="J40" i="53"/>
  <c r="K40" i="53" s="1"/>
  <c r="K41" i="53" s="1"/>
  <c r="J36" i="46"/>
  <c r="K36" i="46" s="1"/>
  <c r="J32" i="47"/>
  <c r="K32" i="47" s="1"/>
  <c r="J30" i="47"/>
  <c r="K30" i="47" s="1"/>
  <c r="K22" i="48"/>
  <c r="K20" i="48"/>
  <c r="J29" i="47"/>
  <c r="K29" i="47" s="1"/>
  <c r="J31" i="47"/>
  <c r="K31" i="47" s="1"/>
  <c r="K25" i="48"/>
  <c r="K26" i="48" s="1"/>
  <c r="B25" i="48"/>
  <c r="L25" i="48"/>
  <c r="K24" i="46"/>
  <c r="K23" i="46"/>
  <c r="K26" i="46"/>
  <c r="K34" i="46"/>
  <c r="K19" i="46"/>
  <c r="K35" i="46"/>
  <c r="K33" i="46"/>
  <c r="K28" i="46"/>
  <c r="AE33" i="38"/>
  <c r="AE32" i="38"/>
  <c r="AE30" i="38"/>
  <c r="AE29" i="38"/>
  <c r="AE28" i="38"/>
  <c r="AE27" i="38"/>
  <c r="AE25" i="38"/>
  <c r="AE24" i="38"/>
  <c r="AE23" i="38"/>
  <c r="AE22" i="38"/>
  <c r="AE21" i="38"/>
  <c r="AE20" i="38"/>
  <c r="AE19" i="38"/>
  <c r="AE16" i="38"/>
  <c r="AE15" i="38"/>
  <c r="AE14" i="38"/>
  <c r="AE12" i="38"/>
  <c r="AE11" i="38"/>
  <c r="AE10" i="38"/>
  <c r="AE9" i="38"/>
  <c r="AE323" i="38" s="1"/>
  <c r="AE7" i="38"/>
  <c r="AE321" i="38" s="1"/>
  <c r="AE6" i="38"/>
  <c r="AE320" i="38" s="1"/>
  <c r="AE5" i="38"/>
  <c r="AE4" i="38"/>
  <c r="AC33" i="38"/>
  <c r="AC32" i="38"/>
  <c r="AC30" i="38"/>
  <c r="AC29" i="38"/>
  <c r="AC28" i="38"/>
  <c r="AC27" i="38"/>
  <c r="AC25" i="38"/>
  <c r="AC24" i="38"/>
  <c r="AC23" i="38"/>
  <c r="AC22" i="38"/>
  <c r="AC21" i="38"/>
  <c r="AC20" i="38"/>
  <c r="AC19" i="38"/>
  <c r="AC16" i="38"/>
  <c r="AC15" i="38"/>
  <c r="AC14" i="38"/>
  <c r="AC12" i="38"/>
  <c r="AC11" i="38"/>
  <c r="AC10" i="38"/>
  <c r="AC9" i="38"/>
  <c r="AC323" i="38" s="1"/>
  <c r="AC7" i="38"/>
  <c r="AC321" i="38" s="1"/>
  <c r="AC6" i="38"/>
  <c r="AC320" i="38" s="1"/>
  <c r="AC5" i="38"/>
  <c r="AC4" i="38"/>
  <c r="AB4" i="38"/>
  <c r="AB5" i="38"/>
  <c r="AB6" i="38"/>
  <c r="AB320" i="38" s="1"/>
  <c r="AB7" i="38"/>
  <c r="AB321" i="38" s="1"/>
  <c r="AB9" i="38"/>
  <c r="AB323" i="38" s="1"/>
  <c r="AB10" i="38"/>
  <c r="AB11" i="38"/>
  <c r="AB12" i="38"/>
  <c r="AB14" i="38"/>
  <c r="AB15" i="38"/>
  <c r="J77" i="54" s="1"/>
  <c r="AB16" i="38"/>
  <c r="AB19" i="38"/>
  <c r="AB20" i="38"/>
  <c r="AB21" i="38"/>
  <c r="AB22" i="38"/>
  <c r="AB23" i="38"/>
  <c r="AB24" i="38"/>
  <c r="AB25" i="38"/>
  <c r="AB27" i="38"/>
  <c r="AB28" i="38"/>
  <c r="AB29" i="38"/>
  <c r="AB30" i="38"/>
  <c r="AB32" i="38"/>
  <c r="AB33" i="38"/>
  <c r="H64" i="22"/>
  <c r="H121" i="22" s="1"/>
  <c r="H178" i="22" s="1"/>
  <c r="H235" i="22" s="1"/>
  <c r="H292" i="22" s="1"/>
  <c r="H63" i="22"/>
  <c r="H120" i="22" s="1"/>
  <c r="H177" i="22" s="1"/>
  <c r="H234" i="22" s="1"/>
  <c r="H291" i="22" s="1"/>
  <c r="K77" i="54" l="1"/>
  <c r="J27" i="54" a="1"/>
  <c r="J27" i="54" s="1"/>
  <c r="K27" i="54" s="1"/>
  <c r="K25" i="47"/>
  <c r="K34" i="47" s="1"/>
  <c r="K22" i="49"/>
  <c r="K21" i="49"/>
  <c r="K19" i="49"/>
  <c r="J91" i="54"/>
  <c r="J141" i="54" s="1"/>
  <c r="J191" i="54" s="1"/>
  <c r="J241" i="54" s="1"/>
  <c r="J291" i="54" s="1"/>
  <c r="K41" i="54"/>
  <c r="K91" i="54" s="1"/>
  <c r="K141" i="54" s="1"/>
  <c r="K191" i="54" s="1"/>
  <c r="K241" i="54" s="1"/>
  <c r="K291" i="54" s="1"/>
  <c r="AB437" i="38"/>
  <c r="AB337" i="38"/>
  <c r="AC325" i="38"/>
  <c r="AC425" i="38"/>
  <c r="AE344" i="38"/>
  <c r="AE444" i="38"/>
  <c r="AB436" i="38"/>
  <c r="AB336" i="38"/>
  <c r="AC426" i="38"/>
  <c r="AC326" i="38"/>
  <c r="AC445" i="38"/>
  <c r="AC345" i="38"/>
  <c r="AE435" i="38"/>
  <c r="AE335" i="38"/>
  <c r="AB445" i="38"/>
  <c r="AB345" i="38"/>
  <c r="AB439" i="38"/>
  <c r="AB339" i="38"/>
  <c r="AB430" i="38"/>
  <c r="AB330" i="38"/>
  <c r="AC424" i="38"/>
  <c r="AC324" i="38"/>
  <c r="AC433" i="38"/>
  <c r="AC333" i="38"/>
  <c r="AC442" i="38"/>
  <c r="AC342" i="38"/>
  <c r="AE324" i="38"/>
  <c r="AE424" i="38"/>
  <c r="AE333" i="38"/>
  <c r="AE433" i="38"/>
  <c r="AE342" i="38"/>
  <c r="AE442" i="38"/>
  <c r="AC344" i="38"/>
  <c r="AC444" i="38"/>
  <c r="AE318" i="38"/>
  <c r="AE422" i="38"/>
  <c r="AB429" i="38"/>
  <c r="J277" i="54" s="1"/>
  <c r="K277" i="54" s="1"/>
  <c r="AB329" i="38"/>
  <c r="J227" i="54" s="1"/>
  <c r="K227" i="54" s="1"/>
  <c r="AC334" i="38"/>
  <c r="AC434" i="38"/>
  <c r="AE334" i="38"/>
  <c r="AE434" i="38"/>
  <c r="AB428" i="38"/>
  <c r="AB328" i="38"/>
  <c r="AC435" i="38"/>
  <c r="AC335" i="38"/>
  <c r="AE445" i="38"/>
  <c r="AE345" i="38"/>
  <c r="AC318" i="38"/>
  <c r="AC422" i="38"/>
  <c r="AE428" i="38"/>
  <c r="AE328" i="38"/>
  <c r="AB444" i="38"/>
  <c r="AB344" i="38"/>
  <c r="AE329" i="38"/>
  <c r="AE429" i="38"/>
  <c r="AB423" i="38"/>
  <c r="AB319" i="38"/>
  <c r="AE325" i="38"/>
  <c r="AE425" i="38"/>
  <c r="AB318" i="38"/>
  <c r="AB422" i="38"/>
  <c r="AE326" i="38"/>
  <c r="AE426" i="38"/>
  <c r="AB426" i="38"/>
  <c r="AB326" i="38"/>
  <c r="AC436" i="38"/>
  <c r="AC336" i="38"/>
  <c r="AB434" i="38"/>
  <c r="AB334" i="38"/>
  <c r="AC319" i="38"/>
  <c r="AC423" i="38"/>
  <c r="AC437" i="38"/>
  <c r="AC337" i="38"/>
  <c r="AE337" i="38"/>
  <c r="AE437" i="38"/>
  <c r="AB333" i="38"/>
  <c r="AB433" i="38"/>
  <c r="AB332" i="38"/>
  <c r="AB432" i="38"/>
  <c r="AC340" i="38"/>
  <c r="AC440" i="38"/>
  <c r="AE440" i="38"/>
  <c r="AE340" i="38"/>
  <c r="AB435" i="38"/>
  <c r="AB335" i="38"/>
  <c r="AC428" i="38"/>
  <c r="AC328" i="38"/>
  <c r="AE436" i="38"/>
  <c r="AE336" i="38"/>
  <c r="AB425" i="38"/>
  <c r="AB325" i="38"/>
  <c r="AC429" i="38"/>
  <c r="AC329" i="38"/>
  <c r="AE423" i="38"/>
  <c r="AE319" i="38"/>
  <c r="AB342" i="38"/>
  <c r="AB442" i="38"/>
  <c r="AB324" i="38"/>
  <c r="AB424" i="38"/>
  <c r="AC330" i="38"/>
  <c r="AC430" i="38"/>
  <c r="AC339" i="38"/>
  <c r="AC439" i="38"/>
  <c r="AE330" i="38"/>
  <c r="AE430" i="38"/>
  <c r="AE339" i="38"/>
  <c r="AE439" i="38"/>
  <c r="AB341" i="38"/>
  <c r="AB441" i="38"/>
  <c r="AC331" i="38"/>
  <c r="AC431" i="38"/>
  <c r="AE431" i="38"/>
  <c r="AE331" i="38"/>
  <c r="AB340" i="38"/>
  <c r="AB440" i="38"/>
  <c r="AB331" i="38"/>
  <c r="AB431" i="38"/>
  <c r="AC332" i="38"/>
  <c r="AC432" i="38"/>
  <c r="AC341" i="38"/>
  <c r="AC441" i="38"/>
  <c r="AE432" i="38"/>
  <c r="AE332" i="38"/>
  <c r="AE441" i="38"/>
  <c r="AE341" i="38"/>
  <c r="K48" i="22"/>
  <c r="K105" i="22" s="1"/>
  <c r="K162" i="22" s="1"/>
  <c r="K219" i="22" s="1"/>
  <c r="K276" i="22" s="1"/>
  <c r="K333" i="22" s="1"/>
  <c r="J105" i="22"/>
  <c r="J162" i="22" s="1"/>
  <c r="J219" i="22" s="1"/>
  <c r="J276" i="22" s="1"/>
  <c r="J333" i="22" s="1"/>
  <c r="AB136" i="38"/>
  <c r="AB240" i="38"/>
  <c r="AB126" i="38"/>
  <c r="AB230" i="38"/>
  <c r="AB117" i="38"/>
  <c r="AB221" i="38"/>
  <c r="AC111" i="38"/>
  <c r="AC215" i="38"/>
  <c r="AC121" i="38"/>
  <c r="AC225" i="38"/>
  <c r="AC129" i="38"/>
  <c r="AC233" i="38"/>
  <c r="AE111" i="38"/>
  <c r="AE215" i="38"/>
  <c r="AE121" i="38"/>
  <c r="AE225" i="38"/>
  <c r="AE129" i="38"/>
  <c r="AE233" i="38"/>
  <c r="AB133" i="38"/>
  <c r="AB237" i="38"/>
  <c r="AB124" i="38"/>
  <c r="AB228" i="38"/>
  <c r="AB115" i="38"/>
  <c r="AB219" i="38"/>
  <c r="AC113" i="38"/>
  <c r="AC217" i="38"/>
  <c r="AC123" i="38"/>
  <c r="AC227" i="38"/>
  <c r="AC132" i="38"/>
  <c r="AC236" i="38"/>
  <c r="AE113" i="38"/>
  <c r="AE217" i="38"/>
  <c r="AE123" i="38"/>
  <c r="AE227" i="38"/>
  <c r="AE132" i="38"/>
  <c r="AE236" i="38"/>
  <c r="AB131" i="38"/>
  <c r="AB235" i="38"/>
  <c r="AB122" i="38"/>
  <c r="AB226" i="38"/>
  <c r="AB112" i="38"/>
  <c r="AB216" i="38"/>
  <c r="AC116" i="38"/>
  <c r="AC220" i="38"/>
  <c r="AC125" i="38"/>
  <c r="AC229" i="38"/>
  <c r="AC134" i="38"/>
  <c r="AC238" i="38"/>
  <c r="AE116" i="38"/>
  <c r="AE220" i="38"/>
  <c r="AE125" i="38"/>
  <c r="AE229" i="38"/>
  <c r="AE134" i="38"/>
  <c r="AE238" i="38"/>
  <c r="AE126" i="38"/>
  <c r="AE230" i="38"/>
  <c r="AE136" i="38"/>
  <c r="AE240" i="38"/>
  <c r="AB134" i="38"/>
  <c r="AB238" i="38"/>
  <c r="AB125" i="38"/>
  <c r="AB229" i="38"/>
  <c r="AB116" i="38"/>
  <c r="AB220" i="38"/>
  <c r="AC112" i="38"/>
  <c r="AC216" i="38"/>
  <c r="AC122" i="38"/>
  <c r="AC226" i="38"/>
  <c r="AC131" i="38"/>
  <c r="AC235" i="38"/>
  <c r="AE112" i="38"/>
  <c r="AE216" i="38"/>
  <c r="AE122" i="38"/>
  <c r="AE226" i="38"/>
  <c r="AE131" i="38"/>
  <c r="AE235" i="38"/>
  <c r="AB132" i="38"/>
  <c r="AB236" i="38"/>
  <c r="AB123" i="38"/>
  <c r="AB227" i="38"/>
  <c r="AB113" i="38"/>
  <c r="AB217" i="38"/>
  <c r="AC115" i="38"/>
  <c r="AC219" i="38"/>
  <c r="AC124" i="38"/>
  <c r="AC228" i="38"/>
  <c r="AC133" i="38"/>
  <c r="AC237" i="38"/>
  <c r="AE115" i="38"/>
  <c r="AE219" i="38"/>
  <c r="AE124" i="38"/>
  <c r="AE228" i="38"/>
  <c r="AE133" i="38"/>
  <c r="AE237" i="38"/>
  <c r="AB129" i="38"/>
  <c r="AB233" i="38"/>
  <c r="AB121" i="38"/>
  <c r="J127" i="54" s="1"/>
  <c r="K127" i="54" s="1"/>
  <c r="AB225" i="38"/>
  <c r="J177" i="54" s="1"/>
  <c r="K177" i="54" s="1"/>
  <c r="AB111" i="38"/>
  <c r="AB215" i="38"/>
  <c r="AC117" i="38"/>
  <c r="AC221" i="38"/>
  <c r="AC126" i="38"/>
  <c r="AC230" i="38"/>
  <c r="AC136" i="38"/>
  <c r="AC240" i="38"/>
  <c r="AE117" i="38"/>
  <c r="AE221" i="38"/>
  <c r="AB128" i="38"/>
  <c r="AB232" i="38"/>
  <c r="AB120" i="38"/>
  <c r="AB224" i="38"/>
  <c r="AB110" i="38"/>
  <c r="AB214" i="38"/>
  <c r="AC118" i="38"/>
  <c r="AC222" i="38"/>
  <c r="AC127" i="38"/>
  <c r="AC231" i="38"/>
  <c r="AC137" i="38"/>
  <c r="AC241" i="38"/>
  <c r="AE118" i="38"/>
  <c r="AE222" i="38"/>
  <c r="AE127" i="38"/>
  <c r="AE231" i="38"/>
  <c r="AE137" i="38"/>
  <c r="AE241" i="38"/>
  <c r="AB137" i="38"/>
  <c r="AB241" i="38"/>
  <c r="AB127" i="38"/>
  <c r="AB231" i="38"/>
  <c r="AB118" i="38"/>
  <c r="AB222" i="38"/>
  <c r="AC110" i="38"/>
  <c r="AC214" i="38"/>
  <c r="AC120" i="38"/>
  <c r="AC224" i="38"/>
  <c r="AC128" i="38"/>
  <c r="AC232" i="38"/>
  <c r="AE110" i="38"/>
  <c r="AE214" i="38"/>
  <c r="AE120" i="38"/>
  <c r="AE224" i="38"/>
  <c r="AE128" i="38"/>
  <c r="AE232" i="38"/>
  <c r="K20" i="46"/>
  <c r="F15" i="43" s="1"/>
  <c r="K42" i="54" l="1"/>
  <c r="K92" i="54" s="1"/>
  <c r="F14" i="43"/>
  <c r="J30" i="46" s="1"/>
  <c r="K30" i="46" s="1"/>
  <c r="K37" i="46" s="1"/>
  <c r="K39" i="46" s="1"/>
  <c r="K43" i="46" s="1"/>
  <c r="K36" i="47"/>
  <c r="K38" i="47" s="1"/>
  <c r="D12" i="47" s="1"/>
  <c r="L37" i="41"/>
  <c r="J37" i="41"/>
  <c r="I37" i="41"/>
  <c r="H37" i="41"/>
  <c r="B30" i="41"/>
  <c r="L25" i="41"/>
  <c r="I25" i="41"/>
  <c r="H25" i="41"/>
  <c r="L21" i="41"/>
  <c r="J2" i="41"/>
  <c r="K15" i="22"/>
  <c r="L39" i="22"/>
  <c r="L96" i="22" s="1"/>
  <c r="L153" i="22" s="1"/>
  <c r="L210" i="22" s="1"/>
  <c r="L267" i="22" s="1"/>
  <c r="L324" i="22" s="1"/>
  <c r="I96" i="22"/>
  <c r="I153" i="22" s="1"/>
  <c r="I210" i="22" s="1"/>
  <c r="I267" i="22" s="1"/>
  <c r="I324" i="22" s="1"/>
  <c r="H96" i="22"/>
  <c r="H153" i="22" s="1"/>
  <c r="H210" i="22" s="1"/>
  <c r="H267" i="22" s="1"/>
  <c r="H324" i="22" s="1"/>
  <c r="B96" i="22"/>
  <c r="B153" i="22" s="1"/>
  <c r="B210" i="22" s="1"/>
  <c r="B267" i="22" s="1"/>
  <c r="B324" i="22" s="1"/>
  <c r="L38" i="22"/>
  <c r="L95" i="22" s="1"/>
  <c r="L152" i="22" s="1"/>
  <c r="L209" i="22" s="1"/>
  <c r="L266" i="22" s="1"/>
  <c r="L323" i="22" s="1"/>
  <c r="I95" i="22"/>
  <c r="I152" i="22" s="1"/>
  <c r="I209" i="22" s="1"/>
  <c r="I266" i="22" s="1"/>
  <c r="I323" i="22" s="1"/>
  <c r="H95" i="22"/>
  <c r="H152" i="22" s="1"/>
  <c r="H209" i="22" s="1"/>
  <c r="H266" i="22" s="1"/>
  <c r="H323" i="22" s="1"/>
  <c r="B95" i="22"/>
  <c r="B152" i="22" s="1"/>
  <c r="B209" i="22" s="1"/>
  <c r="B266" i="22" s="1"/>
  <c r="B323" i="22" s="1"/>
  <c r="K49" i="22"/>
  <c r="K106" i="22" s="1"/>
  <c r="K163" i="22" s="1"/>
  <c r="K220" i="22" s="1"/>
  <c r="K277" i="22" s="1"/>
  <c r="K334" i="22" s="1"/>
  <c r="B19" i="22"/>
  <c r="B20" i="22"/>
  <c r="B77" i="22" s="1"/>
  <c r="B134" i="22" s="1"/>
  <c r="B191" i="22" s="1"/>
  <c r="B248" i="22" s="1"/>
  <c r="B305" i="22" s="1"/>
  <c r="B29" i="22"/>
  <c r="B86" i="22" s="1"/>
  <c r="B143" i="22" s="1"/>
  <c r="B200" i="22" s="1"/>
  <c r="B97" i="22"/>
  <c r="B154" i="22" s="1"/>
  <c r="B211" i="22" s="1"/>
  <c r="B268" i="22" s="1"/>
  <c r="B325" i="22" s="1"/>
  <c r="B94" i="22"/>
  <c r="B151" i="22" s="1"/>
  <c r="B208" i="22" s="1"/>
  <c r="B265" i="22" s="1"/>
  <c r="B322" i="22" s="1"/>
  <c r="B93" i="22"/>
  <c r="B150" i="22" s="1"/>
  <c r="B207" i="22" s="1"/>
  <c r="B264" i="22" s="1"/>
  <c r="B321" i="22" s="1"/>
  <c r="B92" i="22"/>
  <c r="B149" i="22" s="1"/>
  <c r="B206" i="22" s="1"/>
  <c r="B263" i="22" s="1"/>
  <c r="B320" i="22" s="1"/>
  <c r="B91" i="22"/>
  <c r="B148" i="22" s="1"/>
  <c r="B205" i="22" s="1"/>
  <c r="B262" i="22" s="1"/>
  <c r="B319" i="22" s="1"/>
  <c r="B90" i="22"/>
  <c r="B147" i="22" s="1"/>
  <c r="B204" i="22" s="1"/>
  <c r="B261" i="22" s="1"/>
  <c r="B318" i="22" s="1"/>
  <c r="H91" i="22"/>
  <c r="H148" i="22" s="1"/>
  <c r="I91" i="22"/>
  <c r="I148" i="22" s="1"/>
  <c r="I205" i="22" s="1"/>
  <c r="I262" i="22" s="1"/>
  <c r="I319" i="22" s="1"/>
  <c r="L34" i="22"/>
  <c r="L91" i="22" s="1"/>
  <c r="L148" i="22" s="1"/>
  <c r="L205" i="22" s="1"/>
  <c r="L262" i="22" s="1"/>
  <c r="L319" i="22" s="1"/>
  <c r="H92" i="22"/>
  <c r="H149" i="22" s="1"/>
  <c r="H206" i="22" s="1"/>
  <c r="H263" i="22" s="1"/>
  <c r="H320" i="22" s="1"/>
  <c r="I92" i="22"/>
  <c r="I149" i="22" s="1"/>
  <c r="I206" i="22" s="1"/>
  <c r="I263" i="22" s="1"/>
  <c r="I320" i="22" s="1"/>
  <c r="L35" i="22"/>
  <c r="L92" i="22" s="1"/>
  <c r="L149" i="22" s="1"/>
  <c r="L206" i="22" s="1"/>
  <c r="L263" i="22" s="1"/>
  <c r="L320" i="22" s="1"/>
  <c r="H93" i="22"/>
  <c r="H150" i="22" s="1"/>
  <c r="H207" i="22" s="1"/>
  <c r="H264" i="22" s="1"/>
  <c r="H321" i="22" s="1"/>
  <c r="I93" i="22"/>
  <c r="I150" i="22" s="1"/>
  <c r="I207" i="22" s="1"/>
  <c r="I264" i="22" s="1"/>
  <c r="I321" i="22" s="1"/>
  <c r="L36" i="22"/>
  <c r="L93" i="22" s="1"/>
  <c r="L150" i="22" s="1"/>
  <c r="L207" i="22" s="1"/>
  <c r="L264" i="22" s="1"/>
  <c r="L321" i="22" s="1"/>
  <c r="H94" i="22"/>
  <c r="H151" i="22" s="1"/>
  <c r="H208" i="22" s="1"/>
  <c r="H265" i="22" s="1"/>
  <c r="H322" i="22" s="1"/>
  <c r="I94" i="22"/>
  <c r="I151" i="22" s="1"/>
  <c r="I208" i="22" s="1"/>
  <c r="I265" i="22" s="1"/>
  <c r="I322" i="22" s="1"/>
  <c r="L37" i="22"/>
  <c r="L94" i="22" s="1"/>
  <c r="L151" i="22" s="1"/>
  <c r="L208" i="22" s="1"/>
  <c r="L265" i="22" s="1"/>
  <c r="L322" i="22" s="1"/>
  <c r="H97" i="22"/>
  <c r="H154" i="22" s="1"/>
  <c r="H211" i="22" s="1"/>
  <c r="H268" i="22" s="1"/>
  <c r="H325" i="22" s="1"/>
  <c r="I97" i="22"/>
  <c r="I154" i="22" s="1"/>
  <c r="I211" i="22" s="1"/>
  <c r="I268" i="22" s="1"/>
  <c r="I325" i="22" s="1"/>
  <c r="L40" i="22"/>
  <c r="L97" i="22" s="1"/>
  <c r="L154" i="22" s="1"/>
  <c r="L211" i="22" s="1"/>
  <c r="L268" i="22" s="1"/>
  <c r="L325" i="22" s="1"/>
  <c r="L33" i="22"/>
  <c r="L90" i="22" s="1"/>
  <c r="L147" i="22" s="1"/>
  <c r="L204" i="22" s="1"/>
  <c r="L261" i="22" s="1"/>
  <c r="L318" i="22" s="1"/>
  <c r="I90" i="22"/>
  <c r="I147" i="22" s="1"/>
  <c r="I204" i="22" s="1"/>
  <c r="I261" i="22" s="1"/>
  <c r="I318" i="22" s="1"/>
  <c r="H90" i="22"/>
  <c r="H147" i="22" s="1"/>
  <c r="H19" i="22"/>
  <c r="I19" i="22"/>
  <c r="L19" i="22"/>
  <c r="L76" i="22" s="1"/>
  <c r="L133" i="22" s="1"/>
  <c r="L190" i="22" s="1"/>
  <c r="L247" i="22" s="1"/>
  <c r="L304" i="22" s="1"/>
  <c r="H29" i="22"/>
  <c r="H86" i="22" s="1"/>
  <c r="H143" i="22" s="1"/>
  <c r="I29" i="22"/>
  <c r="I86" i="22" s="1"/>
  <c r="I143" i="22" s="1"/>
  <c r="I200" i="22" s="1"/>
  <c r="L29" i="22"/>
  <c r="L86" i="22" s="1"/>
  <c r="L143" i="22" s="1"/>
  <c r="L200" i="22" s="1"/>
  <c r="B18" i="22"/>
  <c r="L18" i="22"/>
  <c r="L75" i="22" s="1"/>
  <c r="L132" i="22" s="1"/>
  <c r="L189" i="22" s="1"/>
  <c r="L246" i="22" s="1"/>
  <c r="L303" i="22" s="1"/>
  <c r="I18" i="22"/>
  <c r="H18" i="22"/>
  <c r="G5" i="39"/>
  <c r="AL5" i="38"/>
  <c r="AK320" i="38"/>
  <c r="AL6" i="38"/>
  <c r="AL320" i="38" s="1"/>
  <c r="AK321" i="38"/>
  <c r="AL7" i="38"/>
  <c r="AL321" i="38" s="1"/>
  <c r="AK323" i="38"/>
  <c r="AL9" i="38"/>
  <c r="AL323" i="38" s="1"/>
  <c r="AL10" i="38"/>
  <c r="AL11" i="38"/>
  <c r="AL12" i="38"/>
  <c r="AL14" i="38"/>
  <c r="AL15" i="38"/>
  <c r="J81" i="54" s="1"/>
  <c r="AL16" i="38"/>
  <c r="AL19" i="38"/>
  <c r="AL20" i="38"/>
  <c r="AL21" i="38"/>
  <c r="AL22" i="38"/>
  <c r="AL23" i="38"/>
  <c r="AL24" i="38"/>
  <c r="AL25" i="38"/>
  <c r="AL27" i="38"/>
  <c r="AL28" i="38"/>
  <c r="AL29" i="38"/>
  <c r="AL30" i="38"/>
  <c r="AL32" i="38"/>
  <c r="AL33" i="38"/>
  <c r="AO5" i="38"/>
  <c r="AP5" i="38"/>
  <c r="AQ5" i="38"/>
  <c r="AO6" i="38"/>
  <c r="AO320" i="38" s="1"/>
  <c r="AP6" i="38"/>
  <c r="AP320" i="38" s="1"/>
  <c r="AQ6" i="38"/>
  <c r="AQ320" i="38" s="1"/>
  <c r="AO7" i="38"/>
  <c r="AO321" i="38" s="1"/>
  <c r="AP7" i="38"/>
  <c r="AP321" i="38" s="1"/>
  <c r="AQ7" i="38"/>
  <c r="AQ321" i="38" s="1"/>
  <c r="AO9" i="38"/>
  <c r="AO323" i="38" s="1"/>
  <c r="AP9" i="38"/>
  <c r="AP323" i="38" s="1"/>
  <c r="AQ9" i="38"/>
  <c r="AQ323" i="38" s="1"/>
  <c r="AO10" i="38"/>
  <c r="AP10" i="38"/>
  <c r="AQ10" i="38"/>
  <c r="AO11" i="38"/>
  <c r="AP11" i="38"/>
  <c r="AQ11" i="38"/>
  <c r="AO12" i="38"/>
  <c r="AP12" i="38"/>
  <c r="AQ12" i="38"/>
  <c r="AO14" i="38"/>
  <c r="AP14" i="38"/>
  <c r="AQ14" i="38"/>
  <c r="AO15" i="38"/>
  <c r="AP15" i="38"/>
  <c r="AQ15" i="38"/>
  <c r="AO16" i="38"/>
  <c r="AP16" i="38"/>
  <c r="AQ16" i="38"/>
  <c r="AO19" i="38"/>
  <c r="AP19" i="38"/>
  <c r="AQ19" i="38"/>
  <c r="AO20" i="38"/>
  <c r="AP20" i="38"/>
  <c r="AQ20" i="38"/>
  <c r="AO21" i="38"/>
  <c r="AP21" i="38"/>
  <c r="AQ21" i="38"/>
  <c r="AO22" i="38"/>
  <c r="AP22" i="38"/>
  <c r="AQ22" i="38"/>
  <c r="AO23" i="38"/>
  <c r="AP23" i="38"/>
  <c r="AQ23" i="38"/>
  <c r="AO24" i="38"/>
  <c r="AP24" i="38"/>
  <c r="AQ24" i="38"/>
  <c r="AO25" i="38"/>
  <c r="AP25" i="38"/>
  <c r="AQ25" i="38"/>
  <c r="AO27" i="38"/>
  <c r="AP27" i="38"/>
  <c r="AQ27" i="38"/>
  <c r="AO28" i="38"/>
  <c r="AP28" i="38"/>
  <c r="AQ28" i="38"/>
  <c r="AO29" i="38"/>
  <c r="AP29" i="38"/>
  <c r="AQ29" i="38"/>
  <c r="AO30" i="38"/>
  <c r="AP30" i="38"/>
  <c r="AQ30" i="38"/>
  <c r="AO32" i="38"/>
  <c r="AP32" i="38"/>
  <c r="AQ32" i="38"/>
  <c r="AO33" i="38"/>
  <c r="AP33" i="38"/>
  <c r="AQ33" i="38"/>
  <c r="AQ4" i="38"/>
  <c r="AP4" i="38"/>
  <c r="AO4" i="38"/>
  <c r="AA9" i="38"/>
  <c r="AA323" i="38" s="1"/>
  <c r="AA10" i="38"/>
  <c r="AA5" i="38"/>
  <c r="AD5" i="38"/>
  <c r="AF5" i="38"/>
  <c r="AG5" i="38"/>
  <c r="AA6" i="38"/>
  <c r="AA320" i="38" s="1"/>
  <c r="AD6" i="38"/>
  <c r="AD320" i="38" s="1"/>
  <c r="AF6" i="38"/>
  <c r="AF320" i="38" s="1"/>
  <c r="AG6" i="38"/>
  <c r="AG320" i="38" s="1"/>
  <c r="AA7" i="38"/>
  <c r="AA321" i="38" s="1"/>
  <c r="AD7" i="38"/>
  <c r="AD321" i="38" s="1"/>
  <c r="AF7" i="38"/>
  <c r="AF321" i="38" s="1"/>
  <c r="AG7" i="38"/>
  <c r="AG321" i="38" s="1"/>
  <c r="AD9" i="38"/>
  <c r="AD323" i="38" s="1"/>
  <c r="AF9" i="38"/>
  <c r="AF323" i="38" s="1"/>
  <c r="AG9" i="38"/>
  <c r="AG323" i="38" s="1"/>
  <c r="Z11" i="38"/>
  <c r="AA11" i="38"/>
  <c r="AD11" i="38"/>
  <c r="AF11" i="38"/>
  <c r="AG11" i="38"/>
  <c r="Z12" i="38"/>
  <c r="J76" i="54" s="1"/>
  <c r="AA12" i="38"/>
  <c r="AD12" i="38"/>
  <c r="AF12" i="38"/>
  <c r="AG12" i="38"/>
  <c r="Z14" i="38"/>
  <c r="AA14" i="38"/>
  <c r="AD14" i="38"/>
  <c r="AF14" i="38"/>
  <c r="AG14" i="38"/>
  <c r="Z15" i="38"/>
  <c r="AA15" i="38"/>
  <c r="AD15" i="38"/>
  <c r="AF15" i="38"/>
  <c r="AG15" i="38"/>
  <c r="Z16" i="38"/>
  <c r="AA16" i="38"/>
  <c r="AD16" i="38"/>
  <c r="AF16" i="38"/>
  <c r="AG16" i="38"/>
  <c r="Z19" i="38"/>
  <c r="AA19" i="38"/>
  <c r="AD19" i="38"/>
  <c r="AF19" i="38"/>
  <c r="AG19" i="38"/>
  <c r="Z20" i="38"/>
  <c r="AA20" i="38"/>
  <c r="AD20" i="38"/>
  <c r="AF20" i="38"/>
  <c r="AG20" i="38"/>
  <c r="Z21" i="38"/>
  <c r="AA21" i="38"/>
  <c r="AD21" i="38"/>
  <c r="AF21" i="38"/>
  <c r="AG21" i="38"/>
  <c r="Z22" i="38"/>
  <c r="AA22" i="38"/>
  <c r="AD22" i="38"/>
  <c r="AF22" i="38"/>
  <c r="AG22" i="38"/>
  <c r="Z23" i="38"/>
  <c r="AA23" i="38"/>
  <c r="AD23" i="38"/>
  <c r="AF23" i="38"/>
  <c r="AG23" i="38"/>
  <c r="Z24" i="38"/>
  <c r="AA24" i="38"/>
  <c r="AD24" i="38"/>
  <c r="AF24" i="38"/>
  <c r="AG24" i="38"/>
  <c r="Z25" i="38"/>
  <c r="AA25" i="38"/>
  <c r="AD25" i="38"/>
  <c r="AF25" i="38"/>
  <c r="AG25" i="38"/>
  <c r="Z27" i="38"/>
  <c r="AA27" i="38"/>
  <c r="AD27" i="38"/>
  <c r="AF27" i="38"/>
  <c r="AG27" i="38"/>
  <c r="Z28" i="38"/>
  <c r="AA28" i="38"/>
  <c r="AD28" i="38"/>
  <c r="AF28" i="38"/>
  <c r="AG28" i="38"/>
  <c r="Z29" i="38"/>
  <c r="AA29" i="38"/>
  <c r="AD29" i="38"/>
  <c r="AF29" i="38"/>
  <c r="AG29" i="38"/>
  <c r="Z30" i="38"/>
  <c r="AA30" i="38"/>
  <c r="AD30" i="38"/>
  <c r="AF30" i="38"/>
  <c r="AG30" i="38"/>
  <c r="Z32" i="38"/>
  <c r="AA32" i="38"/>
  <c r="AD32" i="38"/>
  <c r="AF32" i="38"/>
  <c r="AG32" i="38"/>
  <c r="Z33" i="38"/>
  <c r="AA33" i="38"/>
  <c r="AD33" i="38"/>
  <c r="AF33" i="38"/>
  <c r="AG33" i="38"/>
  <c r="AL4" i="38"/>
  <c r="AK4" i="38"/>
  <c r="Z6" i="38"/>
  <c r="Z320" i="38" s="1"/>
  <c r="Z7" i="38"/>
  <c r="Z321" i="38" s="1"/>
  <c r="Z9" i="38"/>
  <c r="Z323" i="38" s="1"/>
  <c r="Z10" i="38"/>
  <c r="AD10" i="38"/>
  <c r="AF10" i="38"/>
  <c r="AG10" i="38"/>
  <c r="AG4" i="38"/>
  <c r="AF4" i="38"/>
  <c r="AD4" i="38"/>
  <c r="AA4" i="38"/>
  <c r="Z5" i="38"/>
  <c r="Z4" i="38"/>
  <c r="D11" i="22"/>
  <c r="D68" i="22" s="1"/>
  <c r="D125" i="22" s="1"/>
  <c r="D182" i="22" s="1"/>
  <c r="D239" i="22" s="1"/>
  <c r="D296" i="22" s="1"/>
  <c r="K81" i="54" l="1"/>
  <c r="J31" i="54" a="1"/>
  <c r="J31" i="54" s="1"/>
  <c r="K31" i="54" s="1"/>
  <c r="K31" i="48"/>
  <c r="M6" i="49" s="1"/>
  <c r="J34" i="48" s="1"/>
  <c r="H43" i="22"/>
  <c r="H100" i="22" s="1"/>
  <c r="H157" i="22" s="1"/>
  <c r="H214" i="22" s="1"/>
  <c r="H8" i="56" a="1"/>
  <c r="H8" i="56" s="1"/>
  <c r="H8" i="55" a="1"/>
  <c r="H8" i="55" s="1"/>
  <c r="H8" i="54" a="1"/>
  <c r="H8" i="54" s="1"/>
  <c r="H58" i="54" s="1"/>
  <c r="H108" i="54" s="1"/>
  <c r="H158" i="54" s="1"/>
  <c r="H208" i="54" s="1"/>
  <c r="H258" i="54" s="1"/>
  <c r="H8" i="48" a="1"/>
  <c r="H8" i="48" s="1"/>
  <c r="H8" i="41" a="1"/>
  <c r="H8" i="41" s="1"/>
  <c r="H8" i="46" a="1"/>
  <c r="H8" i="46" s="1"/>
  <c r="H8" i="22" a="1"/>
  <c r="H8" i="22" s="1"/>
  <c r="H65" i="22" s="1"/>
  <c r="H122" i="22" s="1"/>
  <c r="H179" i="22" s="1"/>
  <c r="H236" i="22" s="1"/>
  <c r="H293" i="22" s="1"/>
  <c r="H8" i="47" a="1"/>
  <c r="H8" i="47" s="1"/>
  <c r="H8" i="53" a="1"/>
  <c r="H8" i="53" s="1"/>
  <c r="H8" i="51" a="1"/>
  <c r="H8" i="51" s="1"/>
  <c r="K76" i="54"/>
  <c r="K142" i="54"/>
  <c r="AD424" i="38"/>
  <c r="AD324" i="38"/>
  <c r="AD441" i="38"/>
  <c r="AD341" i="38"/>
  <c r="Z334" i="38"/>
  <c r="Z434" i="38"/>
  <c r="AA429" i="38"/>
  <c r="AA329" i="38"/>
  <c r="Z325" i="38"/>
  <c r="Z425" i="38"/>
  <c r="AQ344" i="38"/>
  <c r="AQ444" i="38"/>
  <c r="AP437" i="38"/>
  <c r="AP337" i="38"/>
  <c r="AP429" i="38"/>
  <c r="AP329" i="38"/>
  <c r="AP423" i="38"/>
  <c r="AP319" i="38"/>
  <c r="AL332" i="38"/>
  <c r="AL432" i="38"/>
  <c r="AA341" i="38"/>
  <c r="AA441" i="38"/>
  <c r="AA332" i="38"/>
  <c r="AA432" i="38"/>
  <c r="AD426" i="38"/>
  <c r="AD326" i="38"/>
  <c r="AP344" i="38"/>
  <c r="AP444" i="38"/>
  <c r="AO429" i="38"/>
  <c r="AO329" i="38"/>
  <c r="AK436" i="38"/>
  <c r="AK336" i="38"/>
  <c r="Z341" i="38"/>
  <c r="Z441" i="38"/>
  <c r="Z319" i="38"/>
  <c r="Z423" i="38"/>
  <c r="AD445" i="38"/>
  <c r="AD345" i="38"/>
  <c r="AF439" i="38"/>
  <c r="AF339" i="38"/>
  <c r="AD435" i="38"/>
  <c r="AD335" i="38"/>
  <c r="AF430" i="38"/>
  <c r="AF330" i="38"/>
  <c r="AP334" i="38"/>
  <c r="AP434" i="38"/>
  <c r="AO319" i="38"/>
  <c r="AO423" i="38"/>
  <c r="AA318" i="38"/>
  <c r="AA422" i="38"/>
  <c r="AF342" i="38"/>
  <c r="AF442" i="38"/>
  <c r="AD339" i="38"/>
  <c r="AD439" i="38"/>
  <c r="AA435" i="38"/>
  <c r="AA335" i="38"/>
  <c r="AF333" i="38"/>
  <c r="AF433" i="38"/>
  <c r="Z332" i="38"/>
  <c r="Z432" i="38"/>
  <c r="AD226" i="38"/>
  <c r="AD330" i="38"/>
  <c r="AD430" i="38"/>
  <c r="AG328" i="38"/>
  <c r="AG428" i="38"/>
  <c r="AA426" i="38"/>
  <c r="AA326" i="38"/>
  <c r="AO318" i="38"/>
  <c r="AO422" i="38"/>
  <c r="AO344" i="38"/>
  <c r="AO444" i="38"/>
  <c r="AP440" i="38"/>
  <c r="AP340" i="38"/>
  <c r="AQ436" i="38"/>
  <c r="AQ336" i="38"/>
  <c r="AO334" i="38"/>
  <c r="AO434" i="38"/>
  <c r="AP431" i="38"/>
  <c r="AP331" i="38"/>
  <c r="AQ428" i="38"/>
  <c r="AQ328" i="38"/>
  <c r="AO325" i="38"/>
  <c r="AO425" i="38"/>
  <c r="AL445" i="38"/>
  <c r="AL345" i="38"/>
  <c r="AL340" i="38"/>
  <c r="AL440" i="38"/>
  <c r="AL435" i="38"/>
  <c r="AL335" i="38"/>
  <c r="AL331" i="38"/>
  <c r="AL431" i="38"/>
  <c r="AL326" i="38"/>
  <c r="AL426" i="38"/>
  <c r="AD318" i="38"/>
  <c r="AD422" i="38"/>
  <c r="Z445" i="38"/>
  <c r="Z345" i="38"/>
  <c r="AA439" i="38"/>
  <c r="AA339" i="38"/>
  <c r="Z435" i="38"/>
  <c r="Z335" i="38"/>
  <c r="AG431" i="38"/>
  <c r="AG331" i="38"/>
  <c r="Z426" i="38"/>
  <c r="Z326" i="38"/>
  <c r="AQ342" i="38"/>
  <c r="AQ442" i="38"/>
  <c r="AQ333" i="38"/>
  <c r="AQ433" i="38"/>
  <c r="AP428" i="38"/>
  <c r="AP328" i="38"/>
  <c r="AQ324" i="38"/>
  <c r="AQ424" i="38"/>
  <c r="AK445" i="38"/>
  <c r="AK345" i="38"/>
  <c r="AK440" i="38"/>
  <c r="AK340" i="38"/>
  <c r="AK431" i="38"/>
  <c r="AK331" i="38"/>
  <c r="AK426" i="38"/>
  <c r="AK326" i="38"/>
  <c r="AF318" i="38"/>
  <c r="AF422" i="38"/>
  <c r="AG344" i="38"/>
  <c r="AG444" i="38"/>
  <c r="AA342" i="38"/>
  <c r="AA442" i="38"/>
  <c r="AF440" i="38"/>
  <c r="AF340" i="38"/>
  <c r="Z439" i="38"/>
  <c r="Z339" i="38"/>
  <c r="AD436" i="38"/>
  <c r="AD336" i="38"/>
  <c r="AG334" i="38"/>
  <c r="AG434" i="38"/>
  <c r="AA333" i="38"/>
  <c r="AA433" i="38"/>
  <c r="AF431" i="38"/>
  <c r="AF331" i="38"/>
  <c r="Z430" i="38"/>
  <c r="Z330" i="38"/>
  <c r="AD328" i="38"/>
  <c r="AD428" i="38"/>
  <c r="AG325" i="38"/>
  <c r="AG425" i="38"/>
  <c r="AG423" i="38"/>
  <c r="AG319" i="38"/>
  <c r="AQ318" i="38"/>
  <c r="AQ422" i="38"/>
  <c r="AP342" i="38"/>
  <c r="AP442" i="38"/>
  <c r="AQ439" i="38"/>
  <c r="AQ339" i="38"/>
  <c r="AO336" i="38"/>
  <c r="AO436" i="38"/>
  <c r="AP333" i="38"/>
  <c r="AP433" i="38"/>
  <c r="AQ430" i="38"/>
  <c r="AQ330" i="38"/>
  <c r="AO328" i="38"/>
  <c r="AO428" i="38"/>
  <c r="AP324" i="38"/>
  <c r="AP424" i="38"/>
  <c r="AL344" i="38"/>
  <c r="AL444" i="38"/>
  <c r="AL439" i="38"/>
  <c r="AL339" i="38"/>
  <c r="AL334" i="38"/>
  <c r="AL434" i="38"/>
  <c r="AL430" i="38"/>
  <c r="AL330" i="38"/>
  <c r="AL325" i="38"/>
  <c r="AL425" i="38"/>
  <c r="Z422" i="38"/>
  <c r="Z318" i="38"/>
  <c r="Z344" i="38"/>
  <c r="Z444" i="38"/>
  <c r="AA437" i="38"/>
  <c r="AA337" i="38"/>
  <c r="AD432" i="38"/>
  <c r="AD332" i="38"/>
  <c r="AF426" i="38"/>
  <c r="AF326" i="38"/>
  <c r="AA324" i="38"/>
  <c r="AA424" i="38"/>
  <c r="AQ334" i="38"/>
  <c r="AQ434" i="38"/>
  <c r="AL436" i="38"/>
  <c r="AL336" i="38"/>
  <c r="AL428" i="38"/>
  <c r="AL328" i="38"/>
  <c r="Z437" i="38"/>
  <c r="Z337" i="38"/>
  <c r="AO437" i="38"/>
  <c r="AO337" i="38"/>
  <c r="AK341" i="38"/>
  <c r="AK441" i="38"/>
  <c r="AA345" i="38"/>
  <c r="AA445" i="38"/>
  <c r="AD442" i="38"/>
  <c r="AD342" i="38"/>
  <c r="AA430" i="38"/>
  <c r="AA330" i="38"/>
  <c r="AP436" i="38"/>
  <c r="AP336" i="38"/>
  <c r="AK422" i="38"/>
  <c r="AK318" i="38"/>
  <c r="Z342" i="38"/>
  <c r="Z442" i="38"/>
  <c r="AG437" i="38"/>
  <c r="AG337" i="38"/>
  <c r="AA436" i="38"/>
  <c r="AA336" i="38"/>
  <c r="Z333" i="38"/>
  <c r="Z433" i="38"/>
  <c r="AD331" i="38"/>
  <c r="AD431" i="38"/>
  <c r="AG429" i="38"/>
  <c r="AG329" i="38"/>
  <c r="AF325" i="38"/>
  <c r="AF425" i="38"/>
  <c r="AF423" i="38"/>
  <c r="AF319" i="38"/>
  <c r="AQ445" i="38"/>
  <c r="AQ345" i="38"/>
  <c r="AO342" i="38"/>
  <c r="AO442" i="38"/>
  <c r="AP439" i="38"/>
  <c r="AP339" i="38"/>
  <c r="AQ435" i="38"/>
  <c r="AQ335" i="38"/>
  <c r="AO333" i="38"/>
  <c r="AO433" i="38"/>
  <c r="AP430" i="38"/>
  <c r="AP330" i="38"/>
  <c r="AQ426" i="38"/>
  <c r="AQ326" i="38"/>
  <c r="AK344" i="38"/>
  <c r="AK444" i="38"/>
  <c r="AK439" i="38"/>
  <c r="AK339" i="38"/>
  <c r="AK334" i="38"/>
  <c r="AK434" i="38"/>
  <c r="AK430" i="38"/>
  <c r="AK330" i="38"/>
  <c r="AK325" i="38"/>
  <c r="AK425" i="38"/>
  <c r="AG324" i="38"/>
  <c r="AG424" i="38"/>
  <c r="AD344" i="38"/>
  <c r="AD444" i="38"/>
  <c r="AA340" i="38"/>
  <c r="AA440" i="38"/>
  <c r="Z436" i="38"/>
  <c r="Z336" i="38"/>
  <c r="AG332" i="38"/>
  <c r="AG432" i="38"/>
  <c r="AF329" i="38"/>
  <c r="AF429" i="38"/>
  <c r="Z428" i="38"/>
  <c r="Z328" i="38"/>
  <c r="AD325" i="38"/>
  <c r="AD425" i="38"/>
  <c r="AD423" i="38"/>
  <c r="AD319" i="38"/>
  <c r="AP445" i="38"/>
  <c r="AP345" i="38"/>
  <c r="AQ341" i="38"/>
  <c r="AQ441" i="38"/>
  <c r="AO439" i="38"/>
  <c r="AO339" i="38"/>
  <c r="AP435" i="38"/>
  <c r="AP335" i="38"/>
  <c r="AQ332" i="38"/>
  <c r="AQ432" i="38"/>
  <c r="AO430" i="38"/>
  <c r="AO330" i="38"/>
  <c r="AP426" i="38"/>
  <c r="AP326" i="38"/>
  <c r="AL342" i="38"/>
  <c r="AL442" i="38"/>
  <c r="AL437" i="38"/>
  <c r="AL337" i="38"/>
  <c r="AL333" i="38"/>
  <c r="AL433" i="38"/>
  <c r="AL429" i="38"/>
  <c r="J281" i="54" s="1"/>
  <c r="K281" i="54" s="1"/>
  <c r="AL329" i="38"/>
  <c r="J231" i="54" s="1"/>
  <c r="K231" i="54" s="1"/>
  <c r="AL324" i="38"/>
  <c r="AL424" i="38"/>
  <c r="AL423" i="38"/>
  <c r="AL319" i="38"/>
  <c r="AF445" i="38"/>
  <c r="AF345" i="38"/>
  <c r="AG439" i="38"/>
  <c r="AG339" i="38"/>
  <c r="AF435" i="38"/>
  <c r="AF335" i="38"/>
  <c r="AG430" i="38"/>
  <c r="AG330" i="38"/>
  <c r="AO341" i="38"/>
  <c r="AO441" i="38"/>
  <c r="AO332" i="38"/>
  <c r="AO432" i="38"/>
  <c r="AQ325" i="38"/>
  <c r="AQ425" i="38"/>
  <c r="AL341" i="38"/>
  <c r="AL441" i="38"/>
  <c r="Z324" i="38"/>
  <c r="Z424" i="38"/>
  <c r="AG342" i="38"/>
  <c r="AG442" i="38"/>
  <c r="AG333" i="38"/>
  <c r="AG433" i="38"/>
  <c r="Z429" i="38"/>
  <c r="Z329" i="38"/>
  <c r="AQ340" i="38"/>
  <c r="AQ440" i="38"/>
  <c r="AQ331" i="38"/>
  <c r="AQ431" i="38"/>
  <c r="AP325" i="38"/>
  <c r="AP425" i="38"/>
  <c r="AK332" i="38"/>
  <c r="AK432" i="38"/>
  <c r="AK428" i="38"/>
  <c r="AK328" i="38"/>
  <c r="AG336" i="38"/>
  <c r="AG436" i="38"/>
  <c r="AG440" i="38"/>
  <c r="AG340" i="38"/>
  <c r="AF436" i="38"/>
  <c r="AF336" i="38"/>
  <c r="AD433" i="38"/>
  <c r="AD333" i="38"/>
  <c r="AF428" i="38"/>
  <c r="AF328" i="38"/>
  <c r="AP422" i="38"/>
  <c r="AP318" i="38"/>
  <c r="AO440" i="38"/>
  <c r="AO340" i="38"/>
  <c r="AO431" i="38"/>
  <c r="AO331" i="38"/>
  <c r="AK435" i="38"/>
  <c r="AK335" i="38"/>
  <c r="AG318" i="38"/>
  <c r="AG422" i="38"/>
  <c r="AF344" i="38"/>
  <c r="AF444" i="38"/>
  <c r="AD340" i="38"/>
  <c r="AD440" i="38"/>
  <c r="AF334" i="38"/>
  <c r="AF434" i="38"/>
  <c r="AA428" i="38"/>
  <c r="AA328" i="38"/>
  <c r="AO324" i="38"/>
  <c r="AO424" i="38"/>
  <c r="AL318" i="38"/>
  <c r="AL422" i="38"/>
  <c r="AG341" i="38"/>
  <c r="AG441" i="38"/>
  <c r="AF337" i="38"/>
  <c r="AF437" i="38"/>
  <c r="AD334" i="38"/>
  <c r="AD434" i="38"/>
  <c r="AA331" i="38"/>
  <c r="AA431" i="38"/>
  <c r="AF324" i="38"/>
  <c r="AF424" i="38"/>
  <c r="AG445" i="38"/>
  <c r="AG345" i="38"/>
  <c r="AA344" i="38"/>
  <c r="AA444" i="38"/>
  <c r="AF441" i="38"/>
  <c r="AF341" i="38"/>
  <c r="Z440" i="38"/>
  <c r="Z340" i="38"/>
  <c r="AD437" i="38"/>
  <c r="AD337" i="38"/>
  <c r="AG435" i="38"/>
  <c r="AG335" i="38"/>
  <c r="AA334" i="38"/>
  <c r="AA434" i="38"/>
  <c r="AF432" i="38"/>
  <c r="AF332" i="38"/>
  <c r="Z431" i="38"/>
  <c r="Z331" i="38"/>
  <c r="AD429" i="38"/>
  <c r="AD329" i="38"/>
  <c r="AG426" i="38"/>
  <c r="AG326" i="38"/>
  <c r="AA325" i="38"/>
  <c r="AA425" i="38"/>
  <c r="AA423" i="38"/>
  <c r="AA319" i="38"/>
  <c r="AO445" i="38"/>
  <c r="AO345" i="38"/>
  <c r="AP341" i="38"/>
  <c r="AP441" i="38"/>
  <c r="AQ437" i="38"/>
  <c r="AQ337" i="38"/>
  <c r="AO435" i="38"/>
  <c r="AO335" i="38"/>
  <c r="AP332" i="38"/>
  <c r="AP432" i="38"/>
  <c r="AQ429" i="38"/>
  <c r="AQ329" i="38"/>
  <c r="AO426" i="38"/>
  <c r="AO326" i="38"/>
  <c r="AQ423" i="38"/>
  <c r="AQ319" i="38"/>
  <c r="AK342" i="38"/>
  <c r="AK442" i="38"/>
  <c r="AK437" i="38"/>
  <c r="AK337" i="38"/>
  <c r="AK333" i="38"/>
  <c r="AK433" i="38"/>
  <c r="AK429" i="38"/>
  <c r="J280" i="54" s="1"/>
  <c r="K280" i="54" s="1"/>
  <c r="AK329" i="38"/>
  <c r="J230" i="54" s="1"/>
  <c r="K230" i="54" s="1"/>
  <c r="AK324" i="38"/>
  <c r="AK424" i="38"/>
  <c r="AK423" i="38"/>
  <c r="AK319" i="38"/>
  <c r="B257" i="22"/>
  <c r="I257" i="22"/>
  <c r="I314" i="22" s="1"/>
  <c r="L257" i="22"/>
  <c r="AA110" i="38"/>
  <c r="AA214" i="38"/>
  <c r="Z115" i="38"/>
  <c r="Z219" i="38"/>
  <c r="AA137" i="38"/>
  <c r="AA241" i="38"/>
  <c r="AF134" i="38"/>
  <c r="AF238" i="38"/>
  <c r="Z133" i="38"/>
  <c r="Z237" i="38"/>
  <c r="AD131" i="38"/>
  <c r="AD235" i="38"/>
  <c r="AG128" i="38"/>
  <c r="AG232" i="38"/>
  <c r="AA127" i="38"/>
  <c r="AA231" i="38"/>
  <c r="AF125" i="38"/>
  <c r="AF229" i="38"/>
  <c r="Z124" i="38"/>
  <c r="Z228" i="38"/>
  <c r="AG120" i="38"/>
  <c r="AG224" i="38"/>
  <c r="AA118" i="38"/>
  <c r="AA222" i="38"/>
  <c r="AF115" i="38"/>
  <c r="AF219" i="38"/>
  <c r="AD112" i="38"/>
  <c r="AD216" i="38"/>
  <c r="AO110" i="38"/>
  <c r="AO214" i="38"/>
  <c r="AO136" i="38"/>
  <c r="AO240" i="38"/>
  <c r="AP132" i="38"/>
  <c r="AP236" i="38"/>
  <c r="AQ128" i="38"/>
  <c r="AQ232" i="38"/>
  <c r="AO126" i="38"/>
  <c r="AO230" i="38"/>
  <c r="AP123" i="38"/>
  <c r="AP227" i="38"/>
  <c r="AQ120" i="38"/>
  <c r="AQ224" i="38"/>
  <c r="AO117" i="38"/>
  <c r="AO221" i="38"/>
  <c r="AP113" i="38"/>
  <c r="AP217" i="38"/>
  <c r="AL137" i="38"/>
  <c r="AL241" i="38"/>
  <c r="AL132" i="38"/>
  <c r="AL236" i="38"/>
  <c r="AL127" i="38"/>
  <c r="AL231" i="38"/>
  <c r="AL123" i="38"/>
  <c r="AL227" i="38"/>
  <c r="AL118" i="38"/>
  <c r="AL222" i="38"/>
  <c r="AL113" i="38"/>
  <c r="AL217" i="38"/>
  <c r="AD110" i="38"/>
  <c r="AD214" i="38"/>
  <c r="Z113" i="38"/>
  <c r="Z217" i="38"/>
  <c r="Z137" i="38"/>
  <c r="Z241" i="38"/>
  <c r="AD134" i="38"/>
  <c r="AD238" i="38"/>
  <c r="AG132" i="38"/>
  <c r="AG236" i="38"/>
  <c r="AA131" i="38"/>
  <c r="AA235" i="38"/>
  <c r="AF128" i="38"/>
  <c r="AF232" i="38"/>
  <c r="Z127" i="38"/>
  <c r="Z231" i="38"/>
  <c r="AD125" i="38"/>
  <c r="AD229" i="38"/>
  <c r="AG123" i="38"/>
  <c r="AG227" i="38"/>
  <c r="AA122" i="38"/>
  <c r="AA226" i="38"/>
  <c r="AF120" i="38"/>
  <c r="AF224" i="38"/>
  <c r="Z118" i="38"/>
  <c r="Z222" i="38"/>
  <c r="AD115" i="38"/>
  <c r="AD219" i="38"/>
  <c r="AA112" i="38"/>
  <c r="AA216" i="38"/>
  <c r="AP110" i="38"/>
  <c r="AP214" i="38"/>
  <c r="AQ134" i="38"/>
  <c r="AQ238" i="38"/>
  <c r="AO132" i="38"/>
  <c r="AO236" i="38"/>
  <c r="AP128" i="38"/>
  <c r="AP232" i="38"/>
  <c r="AQ125" i="38"/>
  <c r="AQ229" i="38"/>
  <c r="AO123" i="38"/>
  <c r="AO227" i="38"/>
  <c r="AP120" i="38"/>
  <c r="AP224" i="38"/>
  <c r="AQ116" i="38"/>
  <c r="AQ220" i="38"/>
  <c r="AO113" i="38"/>
  <c r="AO217" i="38"/>
  <c r="AK137" i="38"/>
  <c r="AK241" i="38"/>
  <c r="AK132" i="38"/>
  <c r="AK236" i="38"/>
  <c r="AK127" i="38"/>
  <c r="AK231" i="38"/>
  <c r="AK123" i="38"/>
  <c r="AK227" i="38"/>
  <c r="AK118" i="38"/>
  <c r="AK222" i="38"/>
  <c r="AK113" i="38"/>
  <c r="AK217" i="38"/>
  <c r="AF110" i="38"/>
  <c r="AF214" i="38"/>
  <c r="Z112" i="38"/>
  <c r="Z216" i="38"/>
  <c r="AG136" i="38"/>
  <c r="AG240" i="38"/>
  <c r="AA134" i="38"/>
  <c r="AA238" i="38"/>
  <c r="AF132" i="38"/>
  <c r="AF236" i="38"/>
  <c r="Z131" i="38"/>
  <c r="Z235" i="38"/>
  <c r="AD128" i="38"/>
  <c r="AD232" i="38"/>
  <c r="AG126" i="38"/>
  <c r="AG230" i="38"/>
  <c r="AA125" i="38"/>
  <c r="AA229" i="38"/>
  <c r="AF123" i="38"/>
  <c r="AF227" i="38"/>
  <c r="Z122" i="38"/>
  <c r="Z226" i="38"/>
  <c r="AD120" i="38"/>
  <c r="AD224" i="38"/>
  <c r="AG117" i="38"/>
  <c r="AG221" i="38"/>
  <c r="AG113" i="38"/>
  <c r="AG217" i="38"/>
  <c r="AG111" i="38"/>
  <c r="AG215" i="38"/>
  <c r="AQ110" i="38"/>
  <c r="AQ214" i="38"/>
  <c r="AP134" i="38"/>
  <c r="AP238" i="38"/>
  <c r="AQ131" i="38"/>
  <c r="AQ235" i="38"/>
  <c r="AO128" i="38"/>
  <c r="AO232" i="38"/>
  <c r="AP125" i="38"/>
  <c r="AP229" i="38"/>
  <c r="AQ122" i="38"/>
  <c r="AQ226" i="38"/>
  <c r="AO120" i="38"/>
  <c r="AO224" i="38"/>
  <c r="AP116" i="38"/>
  <c r="AP220" i="38"/>
  <c r="AQ112" i="38"/>
  <c r="AQ216" i="38"/>
  <c r="AL136" i="38"/>
  <c r="AL240" i="38"/>
  <c r="AL131" i="38"/>
  <c r="AL235" i="38"/>
  <c r="AL126" i="38"/>
  <c r="AL230" i="38"/>
  <c r="AL122" i="38"/>
  <c r="AL226" i="38"/>
  <c r="AL117" i="38"/>
  <c r="AL221" i="38"/>
  <c r="AL112" i="38"/>
  <c r="AL216" i="38"/>
  <c r="AG110" i="38"/>
  <c r="AG214" i="38"/>
  <c r="AK110" i="38"/>
  <c r="AK214" i="38"/>
  <c r="AF136" i="38"/>
  <c r="AF240" i="38"/>
  <c r="Z134" i="38"/>
  <c r="Z238" i="38"/>
  <c r="AD132" i="38"/>
  <c r="AD236" i="38"/>
  <c r="AG129" i="38"/>
  <c r="AG233" i="38"/>
  <c r="AA128" i="38"/>
  <c r="AA232" i="38"/>
  <c r="AF126" i="38"/>
  <c r="AF230" i="38"/>
  <c r="Z125" i="38"/>
  <c r="Z229" i="38"/>
  <c r="AD123" i="38"/>
  <c r="AD227" i="38"/>
  <c r="AG121" i="38"/>
  <c r="AG225" i="38"/>
  <c r="AA120" i="38"/>
  <c r="AA224" i="38"/>
  <c r="AF117" i="38"/>
  <c r="AF221" i="38"/>
  <c r="AF113" i="38"/>
  <c r="AF217" i="38"/>
  <c r="AF111" i="38"/>
  <c r="AF215" i="38"/>
  <c r="AQ137" i="38"/>
  <c r="AQ241" i="38"/>
  <c r="AO134" i="38"/>
  <c r="AO238" i="38"/>
  <c r="AP131" i="38"/>
  <c r="AP235" i="38"/>
  <c r="AQ127" i="38"/>
  <c r="AQ231" i="38"/>
  <c r="AO125" i="38"/>
  <c r="AO229" i="38"/>
  <c r="AP122" i="38"/>
  <c r="AP226" i="38"/>
  <c r="AQ118" i="38"/>
  <c r="AQ222" i="38"/>
  <c r="AO116" i="38"/>
  <c r="AO220" i="38"/>
  <c r="AP112" i="38"/>
  <c r="AP216" i="38"/>
  <c r="AK136" i="38"/>
  <c r="AK240" i="38"/>
  <c r="AK131" i="38"/>
  <c r="AK235" i="38"/>
  <c r="AK126" i="38"/>
  <c r="AK230" i="38"/>
  <c r="AK122" i="38"/>
  <c r="AK226" i="38"/>
  <c r="AK117" i="38"/>
  <c r="AK221" i="38"/>
  <c r="AK112" i="38"/>
  <c r="AK216" i="38"/>
  <c r="AG116" i="38"/>
  <c r="AG220" i="38"/>
  <c r="AL110" i="38"/>
  <c r="AL214" i="38"/>
  <c r="AD136" i="38"/>
  <c r="AD240" i="38"/>
  <c r="AG133" i="38"/>
  <c r="AG237" i="38"/>
  <c r="AA132" i="38"/>
  <c r="AA236" i="38"/>
  <c r="AF129" i="38"/>
  <c r="AF233" i="38"/>
  <c r="Z128" i="38"/>
  <c r="Z232" i="38"/>
  <c r="AD126" i="38"/>
  <c r="AD230" i="38"/>
  <c r="AG124" i="38"/>
  <c r="AG228" i="38"/>
  <c r="AA123" i="38"/>
  <c r="AA227" i="38"/>
  <c r="AF121" i="38"/>
  <c r="AF225" i="38"/>
  <c r="Z120" i="38"/>
  <c r="Z224" i="38"/>
  <c r="AD117" i="38"/>
  <c r="AD221" i="38"/>
  <c r="AD113" i="38"/>
  <c r="AD217" i="38"/>
  <c r="AD111" i="38"/>
  <c r="AD215" i="38"/>
  <c r="AP137" i="38"/>
  <c r="AP241" i="38"/>
  <c r="AQ133" i="38"/>
  <c r="AQ237" i="38"/>
  <c r="AO131" i="38"/>
  <c r="AO235" i="38"/>
  <c r="AP127" i="38"/>
  <c r="AP231" i="38"/>
  <c r="AQ124" i="38"/>
  <c r="AQ228" i="38"/>
  <c r="AO122" i="38"/>
  <c r="AO226" i="38"/>
  <c r="AP118" i="38"/>
  <c r="AP222" i="38"/>
  <c r="AQ115" i="38"/>
  <c r="AQ219" i="38"/>
  <c r="AO112" i="38"/>
  <c r="AO216" i="38"/>
  <c r="AL134" i="38"/>
  <c r="AL238" i="38"/>
  <c r="AL129" i="38"/>
  <c r="AL233" i="38"/>
  <c r="AL125" i="38"/>
  <c r="AL229" i="38"/>
  <c r="AL121" i="38"/>
  <c r="J131" i="54" s="1"/>
  <c r="K131" i="54" s="1"/>
  <c r="AL225" i="38"/>
  <c r="J181" i="54" s="1"/>
  <c r="K181" i="54" s="1"/>
  <c r="AL116" i="38"/>
  <c r="AL220" i="38"/>
  <c r="AL111" i="38"/>
  <c r="AL215" i="38"/>
  <c r="AF116" i="38"/>
  <c r="AF220" i="38"/>
  <c r="AG137" i="38"/>
  <c r="AG241" i="38"/>
  <c r="AA136" i="38"/>
  <c r="AA240" i="38"/>
  <c r="AF133" i="38"/>
  <c r="AF237" i="38"/>
  <c r="Z132" i="38"/>
  <c r="Z236" i="38"/>
  <c r="AD129" i="38"/>
  <c r="AD233" i="38"/>
  <c r="AG127" i="38"/>
  <c r="AG231" i="38"/>
  <c r="AA126" i="38"/>
  <c r="AA230" i="38"/>
  <c r="AF124" i="38"/>
  <c r="AF228" i="38"/>
  <c r="Z123" i="38"/>
  <c r="Z227" i="38"/>
  <c r="AD121" i="38"/>
  <c r="AD225" i="38"/>
  <c r="AG118" i="38"/>
  <c r="AG222" i="38"/>
  <c r="AA117" i="38"/>
  <c r="AA221" i="38"/>
  <c r="AA113" i="38"/>
  <c r="AA217" i="38"/>
  <c r="AA111" i="38"/>
  <c r="AA215" i="38"/>
  <c r="AO137" i="38"/>
  <c r="AO241" i="38"/>
  <c r="AP133" i="38"/>
  <c r="AP237" i="38"/>
  <c r="AQ129" i="38"/>
  <c r="AQ233" i="38"/>
  <c r="AO127" i="38"/>
  <c r="AO231" i="38"/>
  <c r="AP124" i="38"/>
  <c r="AP228" i="38"/>
  <c r="AQ121" i="38"/>
  <c r="AQ225" i="38"/>
  <c r="AO118" i="38"/>
  <c r="AO222" i="38"/>
  <c r="AP115" i="38"/>
  <c r="AP219" i="38"/>
  <c r="AQ111" i="38"/>
  <c r="AQ215" i="38"/>
  <c r="AK134" i="38"/>
  <c r="AK238" i="38"/>
  <c r="AK129" i="38"/>
  <c r="AK233" i="38"/>
  <c r="AK125" i="38"/>
  <c r="AK229" i="38"/>
  <c r="AK121" i="38"/>
  <c r="J130" i="54" s="1"/>
  <c r="K130" i="54" s="1"/>
  <c r="AK225" i="38"/>
  <c r="J180" i="54" s="1"/>
  <c r="K180" i="54" s="1"/>
  <c r="AK116" i="38"/>
  <c r="AK220" i="38"/>
  <c r="AK111" i="38"/>
  <c r="AK215" i="38"/>
  <c r="Z110" i="38"/>
  <c r="Z214" i="38"/>
  <c r="AD116" i="38"/>
  <c r="AD220" i="38"/>
  <c r="AF137" i="38"/>
  <c r="AF241" i="38"/>
  <c r="Z136" i="38"/>
  <c r="Z240" i="38"/>
  <c r="AD133" i="38"/>
  <c r="AD237" i="38"/>
  <c r="AG131" i="38"/>
  <c r="AG235" i="38"/>
  <c r="AA129" i="38"/>
  <c r="AA233" i="38"/>
  <c r="AF127" i="38"/>
  <c r="AF231" i="38"/>
  <c r="Z126" i="38"/>
  <c r="Z230" i="38"/>
  <c r="AD124" i="38"/>
  <c r="AD228" i="38"/>
  <c r="AG122" i="38"/>
  <c r="AG226" i="38"/>
  <c r="AA121" i="38"/>
  <c r="AA225" i="38"/>
  <c r="AF118" i="38"/>
  <c r="AF222" i="38"/>
  <c r="Z117" i="38"/>
  <c r="Z221" i="38"/>
  <c r="AG112" i="38"/>
  <c r="AG216" i="38"/>
  <c r="AA116" i="38"/>
  <c r="AA220" i="38"/>
  <c r="AQ136" i="38"/>
  <c r="AQ240" i="38"/>
  <c r="AO133" i="38"/>
  <c r="AO237" i="38"/>
  <c r="AP129" i="38"/>
  <c r="AP233" i="38"/>
  <c r="AQ126" i="38"/>
  <c r="AQ230" i="38"/>
  <c r="AO124" i="38"/>
  <c r="AO228" i="38"/>
  <c r="AP121" i="38"/>
  <c r="AP225" i="38"/>
  <c r="AQ117" i="38"/>
  <c r="AQ221" i="38"/>
  <c r="AO115" i="38"/>
  <c r="AO219" i="38"/>
  <c r="AP111" i="38"/>
  <c r="AP215" i="38"/>
  <c r="AL133" i="38"/>
  <c r="AL237" i="38"/>
  <c r="AL128" i="38"/>
  <c r="AL232" i="38"/>
  <c r="AL124" i="38"/>
  <c r="AL228" i="38"/>
  <c r="AL120" i="38"/>
  <c r="AL224" i="38"/>
  <c r="AL115" i="38"/>
  <c r="AL219" i="38"/>
  <c r="Z111" i="38"/>
  <c r="Z215" i="38"/>
  <c r="Z116" i="38"/>
  <c r="Z220" i="38"/>
  <c r="AD137" i="38"/>
  <c r="AD241" i="38"/>
  <c r="AG134" i="38"/>
  <c r="AG238" i="38"/>
  <c r="AA133" i="38"/>
  <c r="AA237" i="38"/>
  <c r="AF131" i="38"/>
  <c r="AF235" i="38"/>
  <c r="Z129" i="38"/>
  <c r="Z233" i="38"/>
  <c r="AD127" i="38"/>
  <c r="AD231" i="38"/>
  <c r="AG125" i="38"/>
  <c r="AG229" i="38"/>
  <c r="AA124" i="38"/>
  <c r="AA228" i="38"/>
  <c r="AF122" i="38"/>
  <c r="AF226" i="38"/>
  <c r="Z121" i="38"/>
  <c r="Z225" i="38"/>
  <c r="AD118" i="38"/>
  <c r="AD222" i="38"/>
  <c r="AG115" i="38"/>
  <c r="AG219" i="38"/>
  <c r="AF112" i="38"/>
  <c r="AF216" i="38"/>
  <c r="AA115" i="38"/>
  <c r="AA219" i="38"/>
  <c r="AP136" i="38"/>
  <c r="AP240" i="38"/>
  <c r="AQ132" i="38"/>
  <c r="AQ236" i="38"/>
  <c r="AO129" i="38"/>
  <c r="AO233" i="38"/>
  <c r="AP126" i="38"/>
  <c r="AP230" i="38"/>
  <c r="AQ123" i="38"/>
  <c r="AQ227" i="38"/>
  <c r="AO121" i="38"/>
  <c r="AO225" i="38"/>
  <c r="AP117" i="38"/>
  <c r="AP221" i="38"/>
  <c r="AQ113" i="38"/>
  <c r="AQ217" i="38"/>
  <c r="AO111" i="38"/>
  <c r="AO215" i="38"/>
  <c r="AK133" i="38"/>
  <c r="AK237" i="38"/>
  <c r="AK128" i="38"/>
  <c r="AK232" i="38"/>
  <c r="AK124" i="38"/>
  <c r="AK228" i="38"/>
  <c r="AK120" i="38"/>
  <c r="AK224" i="38"/>
  <c r="AK115" i="38"/>
  <c r="AK219" i="38"/>
  <c r="H200" i="22"/>
  <c r="H205" i="22"/>
  <c r="H204" i="22"/>
  <c r="B75" i="22"/>
  <c r="B132" i="22" s="1"/>
  <c r="B189" i="22" s="1"/>
  <c r="B246" i="22" s="1"/>
  <c r="B303" i="22" s="1"/>
  <c r="I76" i="22"/>
  <c r="I133" i="22" s="1"/>
  <c r="I190" i="22" s="1"/>
  <c r="I247" i="22" s="1"/>
  <c r="I304" i="22" s="1"/>
  <c r="K72" i="22"/>
  <c r="K129" i="22" s="1"/>
  <c r="K186" i="22" s="1"/>
  <c r="K243" i="22" s="1"/>
  <c r="K300" i="22" s="1"/>
  <c r="H76" i="22"/>
  <c r="H133" i="22" s="1"/>
  <c r="H75" i="22"/>
  <c r="H132" i="22" s="1"/>
  <c r="I75" i="22"/>
  <c r="I132" i="22" s="1"/>
  <c r="I189" i="22" s="1"/>
  <c r="I246" i="22" s="1"/>
  <c r="I303" i="22" s="1"/>
  <c r="B73" i="22"/>
  <c r="B76" i="22"/>
  <c r="AD122" i="38"/>
  <c r="D12" i="46"/>
  <c r="K37" i="41"/>
  <c r="K25" i="41"/>
  <c r="K21" i="41"/>
  <c r="K16" i="22"/>
  <c r="H16" i="22"/>
  <c r="H73" i="22" s="1"/>
  <c r="H130" i="22" s="1"/>
  <c r="H187" i="22" s="1"/>
  <c r="H244" i="22" s="1"/>
  <c r="H301" i="22" s="1"/>
  <c r="L15" i="22"/>
  <c r="L72" i="22" s="1"/>
  <c r="L129" i="22" s="1"/>
  <c r="L186" i="22" s="1"/>
  <c r="L243" i="22" s="1"/>
  <c r="L300" i="22" s="1"/>
  <c r="F16" i="22"/>
  <c r="F73" i="22" s="1"/>
  <c r="F130" i="22" s="1"/>
  <c r="F187" i="22" s="1"/>
  <c r="F244" i="22" s="1"/>
  <c r="F301" i="22" s="1"/>
  <c r="J72" i="22"/>
  <c r="J129" i="22" s="1"/>
  <c r="J186" i="22" s="1"/>
  <c r="J243" i="22" s="1"/>
  <c r="J300" i="22" s="1"/>
  <c r="K34" i="48" l="1"/>
  <c r="K39" i="48" s="1"/>
  <c r="J86" i="22"/>
  <c r="J143" i="22"/>
  <c r="K143" i="22" s="1"/>
  <c r="J200" i="22"/>
  <c r="J257" i="22"/>
  <c r="J314" i="22"/>
  <c r="L43" i="22"/>
  <c r="L100" i="22" s="1"/>
  <c r="L157" i="22" s="1"/>
  <c r="L214" i="22" s="1"/>
  <c r="L271" i="22" s="1"/>
  <c r="L328" i="22" s="1"/>
  <c r="C44" i="22" a="1"/>
  <c r="C44" i="22" s="1"/>
  <c r="H44" i="22" s="1"/>
  <c r="H101" i="22" s="1"/>
  <c r="H158" i="22" s="1"/>
  <c r="H215" i="22" s="1"/>
  <c r="C100" i="22"/>
  <c r="J100" i="22" s="1"/>
  <c r="I43" i="22"/>
  <c r="I100" i="22" s="1"/>
  <c r="I157" i="22" s="1"/>
  <c r="I214" i="22" s="1"/>
  <c r="I271" i="22" s="1"/>
  <c r="I328" i="22" s="1"/>
  <c r="B43" i="22"/>
  <c r="B100" i="22" s="1"/>
  <c r="B157" i="22" s="1"/>
  <c r="B214" i="22" s="1"/>
  <c r="B271" i="22" s="1"/>
  <c r="B328" i="22" s="1"/>
  <c r="J226" i="54"/>
  <c r="J276" i="54"/>
  <c r="K276" i="54" s="1"/>
  <c r="J176" i="54"/>
  <c r="K176" i="54" s="1"/>
  <c r="J126" i="54"/>
  <c r="K126" i="54" s="1"/>
  <c r="K192" i="54"/>
  <c r="J268" i="22"/>
  <c r="K268" i="22" s="1"/>
  <c r="J261" i="22"/>
  <c r="J267" i="22"/>
  <c r="K267" i="22" s="1"/>
  <c r="J262" i="22"/>
  <c r="J263" i="22"/>
  <c r="K263" i="22" s="1"/>
  <c r="J246" i="22"/>
  <c r="J189" i="22"/>
  <c r="J264" i="22"/>
  <c r="K264" i="22" s="1"/>
  <c r="J265" i="22"/>
  <c r="K265" i="22" s="1"/>
  <c r="J266" i="22"/>
  <c r="K266" i="22" s="1"/>
  <c r="B314" i="22"/>
  <c r="J322" i="22"/>
  <c r="K322" i="22" s="1"/>
  <c r="J320" i="22"/>
  <c r="K320" i="22" s="1"/>
  <c r="J303" i="22"/>
  <c r="J321" i="22"/>
  <c r="K321" i="22" s="1"/>
  <c r="J207" i="22"/>
  <c r="K207" i="22" s="1"/>
  <c r="J152" i="22"/>
  <c r="K152" i="22" s="1"/>
  <c r="J97" i="22"/>
  <c r="J211" i="22"/>
  <c r="K211" i="22" s="1"/>
  <c r="J208" i="22"/>
  <c r="K208" i="22" s="1"/>
  <c r="J153" i="22"/>
  <c r="K153" i="22" s="1"/>
  <c r="J90" i="22"/>
  <c r="J96" i="22"/>
  <c r="J209" i="22"/>
  <c r="K209" i="22" s="1"/>
  <c r="J154" i="22"/>
  <c r="K154" i="22" s="1"/>
  <c r="J93" i="22"/>
  <c r="J210" i="22"/>
  <c r="K210" i="22" s="1"/>
  <c r="J92" i="22"/>
  <c r="J149" i="22"/>
  <c r="K149" i="22" s="1"/>
  <c r="J94" i="22"/>
  <c r="J206" i="22"/>
  <c r="K206" i="22" s="1"/>
  <c r="J150" i="22"/>
  <c r="K150" i="22" s="1"/>
  <c r="J95" i="22"/>
  <c r="J151" i="22"/>
  <c r="K151" i="22" s="1"/>
  <c r="J325" i="22"/>
  <c r="K325" i="22" s="1"/>
  <c r="J204" i="22"/>
  <c r="K204" i="22" s="1"/>
  <c r="J132" i="22"/>
  <c r="K132" i="22" s="1"/>
  <c r="J323" i="22"/>
  <c r="K323" i="22" s="1"/>
  <c r="J324" i="22"/>
  <c r="K324" i="22" s="1"/>
  <c r="J147" i="22"/>
  <c r="K147" i="22" s="1"/>
  <c r="J318" i="22"/>
  <c r="J319" i="22"/>
  <c r="J91" i="22"/>
  <c r="J205" i="22"/>
  <c r="K205" i="22" s="1"/>
  <c r="J148" i="22"/>
  <c r="K148" i="22" s="1"/>
  <c r="L314" i="22"/>
  <c r="K73" i="22"/>
  <c r="K130" i="22" s="1"/>
  <c r="K187" i="22" s="1"/>
  <c r="K244" i="22" s="1"/>
  <c r="K301" i="22" s="1"/>
  <c r="K133" i="22"/>
  <c r="J75" i="22"/>
  <c r="J18" i="22" s="1" a="1"/>
  <c r="J18" i="22" s="1"/>
  <c r="H190" i="22"/>
  <c r="B133" i="22"/>
  <c r="B130" i="22"/>
  <c r="H189" i="22"/>
  <c r="H257" i="22"/>
  <c r="H314" i="22" s="1"/>
  <c r="H262" i="22"/>
  <c r="H319" i="22" s="1"/>
  <c r="H261" i="22"/>
  <c r="H318" i="22" s="1"/>
  <c r="H271" i="22"/>
  <c r="H328" i="22" s="1"/>
  <c r="L34" i="41"/>
  <c r="B34" i="41"/>
  <c r="L31" i="41"/>
  <c r="B31" i="41"/>
  <c r="K32" i="41"/>
  <c r="L32" i="41"/>
  <c r="B32" i="41"/>
  <c r="K200" i="22" l="1"/>
  <c r="K22" i="22"/>
  <c r="K41" i="48"/>
  <c r="K43" i="48" s="1"/>
  <c r="D12" i="48" s="1"/>
  <c r="L44" i="22"/>
  <c r="L101" i="22" s="1"/>
  <c r="L158" i="22" s="1"/>
  <c r="L215" i="22" s="1"/>
  <c r="L272" i="22" s="1"/>
  <c r="L329" i="22" s="1"/>
  <c r="B44" i="22"/>
  <c r="B101" i="22" s="1"/>
  <c r="B158" i="22" s="1"/>
  <c r="B215" i="22" s="1"/>
  <c r="B272" i="22" s="1"/>
  <c r="B329" i="22" s="1"/>
  <c r="C101" i="22"/>
  <c r="C158" i="22" s="1"/>
  <c r="I44" i="22"/>
  <c r="I101" i="22" s="1"/>
  <c r="I158" i="22" s="1"/>
  <c r="I215" i="22" s="1"/>
  <c r="I272" i="22" s="1"/>
  <c r="I329" i="22" s="1"/>
  <c r="C157" i="22"/>
  <c r="J34" i="22" a="1"/>
  <c r="J34" i="22" s="1"/>
  <c r="K34" i="22" s="1"/>
  <c r="J38" i="22" a="1"/>
  <c r="J38" i="22" s="1"/>
  <c r="K38" i="22" s="1"/>
  <c r="J37" i="22" a="1"/>
  <c r="J37" i="22" s="1"/>
  <c r="K37" i="22" s="1"/>
  <c r="J36" i="22" a="1"/>
  <c r="J36" i="22" s="1"/>
  <c r="K36" i="22" s="1"/>
  <c r="J40" i="22" a="1"/>
  <c r="J40" i="22" s="1"/>
  <c r="K40" i="22" s="1"/>
  <c r="J39" i="22" a="1"/>
  <c r="J39" i="22" s="1"/>
  <c r="K39" i="22" s="1"/>
  <c r="K18" i="22"/>
  <c r="K226" i="54"/>
  <c r="J26" i="54" a="1"/>
  <c r="J26" i="54" s="1"/>
  <c r="K26" i="54" s="1"/>
  <c r="K242" i="54"/>
  <c r="J29" i="22" a="1"/>
  <c r="J29" i="22" s="1"/>
  <c r="J33" i="22" a="1"/>
  <c r="J33" i="22" s="1"/>
  <c r="K33" i="22" s="1"/>
  <c r="J35" i="22" a="1"/>
  <c r="J35" i="22" s="1"/>
  <c r="K35" i="22" s="1"/>
  <c r="K318" i="22"/>
  <c r="K314" i="22"/>
  <c r="K319" i="22"/>
  <c r="K92" i="22"/>
  <c r="K95" i="22"/>
  <c r="K96" i="22"/>
  <c r="K257" i="22"/>
  <c r="K93" i="22"/>
  <c r="K75" i="22"/>
  <c r="K97" i="22"/>
  <c r="K90" i="22"/>
  <c r="K91" i="22"/>
  <c r="K261" i="22"/>
  <c r="K94" i="22"/>
  <c r="K262" i="22"/>
  <c r="B187" i="22"/>
  <c r="B190" i="22"/>
  <c r="H247" i="22"/>
  <c r="K190" i="22"/>
  <c r="K100" i="22"/>
  <c r="K86" i="22"/>
  <c r="K76" i="22"/>
  <c r="K19" i="22"/>
  <c r="H246" i="22"/>
  <c r="K189" i="22"/>
  <c r="H272" i="22"/>
  <c r="K98" i="22"/>
  <c r="J98" i="22"/>
  <c r="J155" i="22" s="1"/>
  <c r="J212" i="22" s="1"/>
  <c r="J269" i="22" s="1"/>
  <c r="J326" i="22" s="1"/>
  <c r="K34" i="41"/>
  <c r="K31" i="41"/>
  <c r="J36" i="41" l="1"/>
  <c r="K29" i="22"/>
  <c r="J30" i="22"/>
  <c r="J101" i="22"/>
  <c r="K101" i="22" s="1"/>
  <c r="C215" i="22"/>
  <c r="J158" i="22"/>
  <c r="K158" i="22" s="1"/>
  <c r="C214" i="22"/>
  <c r="J157" i="22"/>
  <c r="K157" i="22" s="1"/>
  <c r="K292" i="54"/>
  <c r="K247" i="22"/>
  <c r="H304" i="22"/>
  <c r="K304" i="22" s="1"/>
  <c r="K246" i="22"/>
  <c r="H303" i="22"/>
  <c r="K303" i="22" s="1"/>
  <c r="H329" i="22"/>
  <c r="B244" i="22"/>
  <c r="B247" i="22"/>
  <c r="K155" i="22"/>
  <c r="K30" i="22" l="1"/>
  <c r="K87" i="22" s="1"/>
  <c r="K144" i="22" s="1"/>
  <c r="K201" i="22" s="1"/>
  <c r="K258" i="22" s="1"/>
  <c r="K315" i="22" s="1"/>
  <c r="J87" i="22"/>
  <c r="J144" i="22" s="1"/>
  <c r="J201" i="22" s="1"/>
  <c r="C272" i="22"/>
  <c r="J215" i="22"/>
  <c r="K215" i="22" s="1"/>
  <c r="C271" i="22"/>
  <c r="J214" i="22"/>
  <c r="K214" i="22" s="1"/>
  <c r="B304" i="22"/>
  <c r="B301" i="22"/>
  <c r="K212" i="22"/>
  <c r="K36" i="41"/>
  <c r="J2" i="22"/>
  <c r="K21" i="53"/>
  <c r="J258" i="22" l="1"/>
  <c r="J315" i="22" s="1"/>
  <c r="K23" i="22" s="1"/>
  <c r="K160" i="22"/>
  <c r="K164" i="22" s="1"/>
  <c r="D126" i="22" s="1"/>
  <c r="K103" i="22"/>
  <c r="K107" i="22" s="1"/>
  <c r="D69" i="22" s="1"/>
  <c r="C329" i="22"/>
  <c r="J329" i="22" s="1"/>
  <c r="J272" i="22"/>
  <c r="K272" i="22" s="1"/>
  <c r="C328" i="22"/>
  <c r="J328" i="22" s="1"/>
  <c r="J271" i="22"/>
  <c r="K271" i="22" s="1"/>
  <c r="K269" i="22"/>
  <c r="K217" i="22"/>
  <c r="K221" i="22" s="1"/>
  <c r="D183" i="22" s="1"/>
  <c r="K38" i="41"/>
  <c r="K328" i="22" l="1"/>
  <c r="J43" i="22" a="1"/>
  <c r="J43" i="22" s="1"/>
  <c r="K43" i="22" s="1"/>
  <c r="K329" i="22"/>
  <c r="J44" i="22" a="1"/>
  <c r="J44" i="22" s="1"/>
  <c r="K44" i="22" s="1"/>
  <c r="K274" i="22"/>
  <c r="K278" i="22" s="1"/>
  <c r="D240" i="22" s="1"/>
  <c r="K326" i="22"/>
  <c r="K40" i="41"/>
  <c r="J23" i="53"/>
  <c r="H23" i="53" s="1"/>
  <c r="I23" i="53" s="1"/>
  <c r="L23" i="53"/>
  <c r="B23" i="53"/>
  <c r="K46" i="22" l="1"/>
  <c r="K50" i="22" s="1"/>
  <c r="D12" i="22" s="1"/>
  <c r="K331" i="22"/>
  <c r="K335" i="22" s="1"/>
  <c r="D297" i="22" s="1"/>
  <c r="K42" i="41"/>
  <c r="K23" i="53"/>
  <c r="D12" i="41" l="1"/>
  <c r="K36" i="53"/>
  <c r="K38" i="53" s="1"/>
  <c r="K42" i="53" s="1"/>
  <c r="D12" i="53" s="1"/>
  <c r="K23" i="54" l="1"/>
  <c r="K89" i="54" l="1"/>
  <c r="K93" i="54" s="1"/>
  <c r="D62" i="54" s="1"/>
  <c r="K39" i="54"/>
  <c r="K43" i="54" s="1"/>
  <c r="D12" i="54" s="1"/>
  <c r="K139" i="54" l="1"/>
  <c r="K143" i="54" s="1"/>
  <c r="D112" i="54" s="1"/>
  <c r="K189" i="54" l="1"/>
  <c r="K193" i="54" s="1"/>
  <c r="D162" i="54" s="1"/>
  <c r="K289" i="54" l="1"/>
  <c r="K293" i="54" s="1"/>
  <c r="D262" i="54" s="1"/>
  <c r="K239" i="54"/>
  <c r="K243" i="54" s="1"/>
  <c r="D212" i="5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<sst xmlns="http://schemas.openxmlformats.org/spreadsheetml/2006/main" count="2928" uniqueCount="1188">
  <si>
    <t>単位</t>
    <rPh sb="0" eb="2">
      <t>タンイ</t>
    </rPh>
    <phoneticPr fontId="4"/>
  </si>
  <si>
    <t>-</t>
  </si>
  <si>
    <t>総　　合　　計</t>
    <rPh sb="0" eb="1">
      <t>ソウ</t>
    </rPh>
    <rPh sb="3" eb="4">
      <t>ゴウ</t>
    </rPh>
    <rPh sb="6" eb="7">
      <t>ケイ</t>
    </rPh>
    <phoneticPr fontId="4"/>
  </si>
  <si>
    <t>下記の通り、お見積申し上げます。</t>
    <rPh sb="7" eb="9">
      <t>ミツモリ</t>
    </rPh>
    <rPh sb="9" eb="10">
      <t>モウ</t>
    </rPh>
    <rPh sb="11" eb="12">
      <t>ア</t>
    </rPh>
    <phoneticPr fontId="4"/>
  </si>
  <si>
    <t>御見積書有効期限：</t>
    <rPh sb="0" eb="4">
      <t>オミツモリショ</t>
    </rPh>
    <rPh sb="4" eb="6">
      <t>ユウコウ</t>
    </rPh>
    <rPh sb="6" eb="8">
      <t>キゲン</t>
    </rPh>
    <phoneticPr fontId="4"/>
  </si>
  <si>
    <t>御支払条件：</t>
    <rPh sb="0" eb="1">
      <t>オン</t>
    </rPh>
    <rPh sb="1" eb="3">
      <t>シハライ</t>
    </rPh>
    <rPh sb="3" eb="5">
      <t>ジョウケン</t>
    </rPh>
    <phoneticPr fontId="4"/>
  </si>
  <si>
    <t>総　　　額</t>
    <rPh sb="0" eb="1">
      <t>ソウ</t>
    </rPh>
    <rPh sb="4" eb="5">
      <t>ガク</t>
    </rPh>
    <phoneticPr fontId="4"/>
  </si>
  <si>
    <t>件       名</t>
    <rPh sb="0" eb="1">
      <t>ケン</t>
    </rPh>
    <rPh sb="8" eb="9">
      <t>メイ</t>
    </rPh>
    <phoneticPr fontId="4"/>
  </si>
  <si>
    <t>1ヶ月</t>
    <rPh sb="2" eb="3">
      <t>ゲツ</t>
    </rPh>
    <phoneticPr fontId="4"/>
  </si>
  <si>
    <t>品    名　・　摘    要</t>
    <rPh sb="0" eb="1">
      <t>シナ</t>
    </rPh>
    <rPh sb="5" eb="6">
      <t>ナ</t>
    </rPh>
    <rPh sb="9" eb="10">
      <t>チャク</t>
    </rPh>
    <rPh sb="14" eb="15">
      <t>ヨウ</t>
    </rPh>
    <phoneticPr fontId="4"/>
  </si>
  <si>
    <t>数  量</t>
    <rPh sb="0" eb="1">
      <t>カズ</t>
    </rPh>
    <rPh sb="3" eb="4">
      <t>リョウ</t>
    </rPh>
    <phoneticPr fontId="4"/>
  </si>
  <si>
    <t>単     価</t>
    <rPh sb="0" eb="1">
      <t>タン</t>
    </rPh>
    <rPh sb="6" eb="7">
      <t>アタイ</t>
    </rPh>
    <phoneticPr fontId="4"/>
  </si>
  <si>
    <t>金        額</t>
    <rPh sb="0" eb="1">
      <t>キン</t>
    </rPh>
    <rPh sb="9" eb="10">
      <t>ガク</t>
    </rPh>
    <phoneticPr fontId="4"/>
  </si>
  <si>
    <t>□</t>
    <phoneticPr fontId="4"/>
  </si>
  <si>
    <t>-</t>
    <phoneticPr fontId="4"/>
  </si>
  <si>
    <t>回</t>
    <rPh sb="0" eb="1">
      <t>カイ</t>
    </rPh>
    <phoneticPr fontId="4"/>
  </si>
  <si>
    <t>※中間検査手数料は、検査対象部分の面積に応じて料金の増減が生じます。</t>
    <rPh sb="1" eb="3">
      <t>チュウカン</t>
    </rPh>
    <rPh sb="3" eb="5">
      <t>ケンサ</t>
    </rPh>
    <rPh sb="5" eb="8">
      <t>テスウリョウ</t>
    </rPh>
    <rPh sb="10" eb="12">
      <t>ケンサ</t>
    </rPh>
    <rPh sb="12" eb="14">
      <t>タイショウ</t>
    </rPh>
    <rPh sb="14" eb="16">
      <t>ブブン</t>
    </rPh>
    <rPh sb="17" eb="19">
      <t>メンセキ</t>
    </rPh>
    <rPh sb="20" eb="21">
      <t>オウ</t>
    </rPh>
    <rPh sb="23" eb="25">
      <t>リョウキン</t>
    </rPh>
    <rPh sb="26" eb="28">
      <t>ゾウゲン</t>
    </rPh>
    <rPh sb="29" eb="30">
      <t>ショウ</t>
    </rPh>
    <phoneticPr fontId="4"/>
  </si>
  <si>
    <t>階、地下</t>
    <rPh sb="3" eb="4">
      <t>シタ</t>
    </rPh>
    <phoneticPr fontId="4"/>
  </si>
  <si>
    <t>※計画変更手数料は計画変更申請回数に応じて料金が加算されます。</t>
    <rPh sb="1" eb="3">
      <t>ケイカク</t>
    </rPh>
    <rPh sb="3" eb="5">
      <t>ヘンコウ</t>
    </rPh>
    <rPh sb="5" eb="8">
      <t>テスウリョウ</t>
    </rPh>
    <rPh sb="9" eb="11">
      <t>ケイカク</t>
    </rPh>
    <rPh sb="11" eb="13">
      <t>ヘンコウ</t>
    </rPh>
    <rPh sb="13" eb="15">
      <t>シンセイ</t>
    </rPh>
    <rPh sb="15" eb="17">
      <t>カイスウ</t>
    </rPh>
    <rPh sb="18" eb="19">
      <t>オウ</t>
    </rPh>
    <rPh sb="21" eb="23">
      <t>リョウキン</t>
    </rPh>
    <rPh sb="24" eb="26">
      <t>カサン</t>
    </rPh>
    <phoneticPr fontId="4"/>
  </si>
  <si>
    <t>※構造上別棟となっている場合は、構造上の棟数に応じて加算されます。</t>
    <rPh sb="1" eb="3">
      <t>コウゾウ</t>
    </rPh>
    <rPh sb="3" eb="4">
      <t>ジョウ</t>
    </rPh>
    <rPh sb="4" eb="5">
      <t>ベツ</t>
    </rPh>
    <rPh sb="5" eb="6">
      <t>ムネ</t>
    </rPh>
    <rPh sb="12" eb="14">
      <t>バアイ</t>
    </rPh>
    <rPh sb="16" eb="18">
      <t>コウゾウ</t>
    </rPh>
    <rPh sb="18" eb="19">
      <t>ジョウ</t>
    </rPh>
    <rPh sb="20" eb="21">
      <t>トウ</t>
    </rPh>
    <rPh sb="21" eb="22">
      <t>スウ</t>
    </rPh>
    <rPh sb="23" eb="24">
      <t>オウ</t>
    </rPh>
    <rPh sb="26" eb="28">
      <t>カサン</t>
    </rPh>
    <phoneticPr fontId="4"/>
  </si>
  <si>
    <t>※規模によって工区が分かれる場合、中間検査手数料・出張料が各工区ごとに生じます。</t>
    <rPh sb="1" eb="3">
      <t>キボ</t>
    </rPh>
    <rPh sb="7" eb="9">
      <t>コウク</t>
    </rPh>
    <rPh sb="10" eb="11">
      <t>ワ</t>
    </rPh>
    <rPh sb="14" eb="16">
      <t>バアイ</t>
    </rPh>
    <rPh sb="17" eb="19">
      <t>チュウカン</t>
    </rPh>
    <rPh sb="19" eb="21">
      <t>ケンサ</t>
    </rPh>
    <rPh sb="21" eb="24">
      <t>テスウリョウ</t>
    </rPh>
    <rPh sb="25" eb="28">
      <t>シュッチョウリョウ</t>
    </rPh>
    <rPh sb="29" eb="30">
      <t>カク</t>
    </rPh>
    <rPh sb="30" eb="32">
      <t>コウク</t>
    </rPh>
    <rPh sb="35" eb="36">
      <t>ショウ</t>
    </rPh>
    <phoneticPr fontId="4"/>
  </si>
  <si>
    <t>合     計</t>
    <rPh sb="0" eb="1">
      <t>ゴウ</t>
    </rPh>
    <rPh sb="6" eb="7">
      <t>ケイ</t>
    </rPh>
    <phoneticPr fontId="4"/>
  </si>
  <si>
    <t>※構造計算にてルート2による検討の場合は料金が加算されます。</t>
    <rPh sb="1" eb="3">
      <t>コウゾウ</t>
    </rPh>
    <rPh sb="3" eb="5">
      <t>ケイサン</t>
    </rPh>
    <rPh sb="14" eb="16">
      <t>ケントウ</t>
    </rPh>
    <rPh sb="17" eb="19">
      <t>バアイ</t>
    </rPh>
    <rPh sb="20" eb="22">
      <t>リョウキン</t>
    </rPh>
    <rPh sb="23" eb="25">
      <t>カサン</t>
    </rPh>
    <phoneticPr fontId="4"/>
  </si>
  <si>
    <t>株式会社 J 建築検査センター</t>
    <rPh sb="0" eb="4">
      <t>カブ</t>
    </rPh>
    <rPh sb="7" eb="9">
      <t>ケンチク</t>
    </rPh>
    <rPh sb="9" eb="11">
      <t>ケンサ</t>
    </rPh>
    <phoneticPr fontId="4"/>
  </si>
  <si>
    <t>〒541-0047  大阪府大阪市中央区淡路町3-5-13</t>
  </si>
  <si>
    <t>鉄骨造</t>
    <rPh sb="0" eb="3">
      <t>テッコツゾウ</t>
    </rPh>
    <phoneticPr fontId="4"/>
  </si>
  <si>
    <t>鉄筋コンクリート造</t>
    <rPh sb="0" eb="2">
      <t>テッキン</t>
    </rPh>
    <rPh sb="8" eb="9">
      <t>ゾウ</t>
    </rPh>
    <phoneticPr fontId="4"/>
  </si>
  <si>
    <t>構造・規模:</t>
    <rPh sb="0" eb="2">
      <t>コウゾウ</t>
    </rPh>
    <rPh sb="3" eb="5">
      <t>キボ</t>
    </rPh>
    <phoneticPr fontId="4"/>
  </si>
  <si>
    <t>'地名・地番:</t>
  </si>
  <si>
    <t>御  見  積  書</t>
    <phoneticPr fontId="4"/>
  </si>
  <si>
    <t>：延べ面積</t>
    <rPh sb="1" eb="2">
      <t>ノベ</t>
    </rPh>
    <rPh sb="3" eb="5">
      <t>メンセキ</t>
    </rPh>
    <phoneticPr fontId="4"/>
  </si>
  <si>
    <t>階</t>
    <rPh sb="0" eb="1">
      <t>カイ</t>
    </rPh>
    <phoneticPr fontId="4"/>
  </si>
  <si>
    <t>以上</t>
    <rPh sb="0" eb="2">
      <t>イジョウ</t>
    </rPh>
    <phoneticPr fontId="4"/>
  </si>
  <si>
    <t>〒810-0001  福岡県福岡市中央区天神1-3-38</t>
    <rPh sb="11" eb="14">
      <t>フクオカケン</t>
    </rPh>
    <rPh sb="14" eb="17">
      <t>フクオカシ</t>
    </rPh>
    <rPh sb="17" eb="20">
      <t>チュウオウク</t>
    </rPh>
    <rPh sb="20" eb="22">
      <t>テンジン</t>
    </rPh>
    <phoneticPr fontId="4"/>
  </si>
  <si>
    <t>株式会社 J 建築検査センター　福岡支店</t>
    <rPh sb="0" eb="4">
      <t>カブ</t>
    </rPh>
    <rPh sb="7" eb="9">
      <t>ケンチク</t>
    </rPh>
    <rPh sb="9" eb="11">
      <t>ケンサ</t>
    </rPh>
    <rPh sb="16" eb="20">
      <t>フクオカシテン</t>
    </rPh>
    <phoneticPr fontId="4"/>
  </si>
  <si>
    <t>株式会社 J 建築検査センター　大阪支店</t>
    <rPh sb="0" eb="4">
      <t>カブ</t>
    </rPh>
    <rPh sb="7" eb="9">
      <t>ケンチク</t>
    </rPh>
    <rPh sb="9" eb="11">
      <t>ケンサ</t>
    </rPh>
    <rPh sb="16" eb="18">
      <t>オオサカ</t>
    </rPh>
    <rPh sb="18" eb="20">
      <t>シテン</t>
    </rPh>
    <phoneticPr fontId="4"/>
  </si>
  <si>
    <t>TEL:092-738-5222　FAX:092-738-5223</t>
    <phoneticPr fontId="4"/>
  </si>
  <si>
    <t>【消費税　10％】</t>
    <rPh sb="1" eb="4">
      <t>ショウヒゼイ</t>
    </rPh>
    <phoneticPr fontId="4"/>
  </si>
  <si>
    <t>確認申請業務【非課税】</t>
    <rPh sb="3" eb="5">
      <t>ギョウム</t>
    </rPh>
    <rPh sb="7" eb="10">
      <t>ヒカゼイ</t>
    </rPh>
    <phoneticPr fontId="4"/>
  </si>
  <si>
    <t>■</t>
    <phoneticPr fontId="4"/>
  </si>
  <si>
    <t>構造</t>
    <rPh sb="0" eb="2">
      <t>コウゾウ</t>
    </rPh>
    <phoneticPr fontId="4"/>
  </si>
  <si>
    <t>用途</t>
    <rPh sb="0" eb="2">
      <t>ヨウト</t>
    </rPh>
    <phoneticPr fontId="4"/>
  </si>
  <si>
    <t>№</t>
    <phoneticPr fontId="4"/>
  </si>
  <si>
    <t>項目</t>
    <rPh sb="0" eb="2">
      <t>コウモク</t>
    </rPh>
    <phoneticPr fontId="4"/>
  </si>
  <si>
    <t>鉄筋鉄骨コンクリート造</t>
    <rPh sb="0" eb="2">
      <t>テッキン</t>
    </rPh>
    <rPh sb="2" eb="4">
      <t>テッコツ</t>
    </rPh>
    <rPh sb="10" eb="11">
      <t>ゾウ</t>
    </rPh>
    <phoneticPr fontId="4"/>
  </si>
  <si>
    <t>RC造+木造</t>
    <rPh sb="2" eb="3">
      <t>ゾウ</t>
    </rPh>
    <rPh sb="4" eb="5">
      <t>モク</t>
    </rPh>
    <rPh sb="5" eb="6">
      <t>ゾウ</t>
    </rPh>
    <phoneticPr fontId="4"/>
  </si>
  <si>
    <t>：地上</t>
    <rPh sb="1" eb="3">
      <t>チジョウ</t>
    </rPh>
    <phoneticPr fontId="4"/>
  </si>
  <si>
    <t>渋谷支店</t>
    <rPh sb="0" eb="2">
      <t>シブヤ</t>
    </rPh>
    <rPh sb="2" eb="4">
      <t>シテン</t>
    </rPh>
    <phoneticPr fontId="4"/>
  </si>
  <si>
    <t>大阪支店</t>
    <rPh sb="0" eb="2">
      <t>オオサカ</t>
    </rPh>
    <rPh sb="2" eb="4">
      <t>シテン</t>
    </rPh>
    <phoneticPr fontId="4"/>
  </si>
  <si>
    <t>福岡支店</t>
    <rPh sb="0" eb="4">
      <t>フクオカシテン</t>
    </rPh>
    <phoneticPr fontId="4"/>
  </si>
  <si>
    <t>担当支店</t>
    <rPh sb="0" eb="2">
      <t>タントウ</t>
    </rPh>
    <rPh sb="2" eb="4">
      <t>シテン</t>
    </rPh>
    <phoneticPr fontId="4"/>
  </si>
  <si>
    <t>株式会社Ｊ建築検査センター</t>
    <rPh sb="0" eb="4">
      <t>カブシキガイシャ</t>
    </rPh>
    <rPh sb="5" eb="7">
      <t>ケンチク</t>
    </rPh>
    <rPh sb="7" eb="9">
      <t>ケンサ</t>
    </rPh>
    <phoneticPr fontId="4"/>
  </si>
  <si>
    <t>区分</t>
    <rPh sb="0" eb="2">
      <t>クブン</t>
    </rPh>
    <phoneticPr fontId="16"/>
  </si>
  <si>
    <t>法６条の４による確認の特例有の建築物</t>
    <rPh sb="0" eb="1">
      <t>ホウ</t>
    </rPh>
    <rPh sb="2" eb="3">
      <t>ジョウ</t>
    </rPh>
    <rPh sb="8" eb="10">
      <t>カクニン</t>
    </rPh>
    <rPh sb="11" eb="13">
      <t>トクレイ</t>
    </rPh>
    <rPh sb="13" eb="14">
      <t>アリ</t>
    </rPh>
    <rPh sb="15" eb="18">
      <t>ケンチクブツ</t>
    </rPh>
    <phoneticPr fontId="16"/>
  </si>
  <si>
    <t>・法第6条の４による確認の特例有の建築物で構造審査が必要な建築物は、その他の建築物の欄の手数料とします。</t>
    <phoneticPr fontId="16"/>
  </si>
  <si>
    <t>・一戸建ての住宅で500㎡を超える場合は、その他の建築物の欄の手数料とします。</t>
    <rPh sb="0" eb="3">
      <t>イッコダ</t>
    </rPh>
    <rPh sb="5" eb="7">
      <t>ジュウタク</t>
    </rPh>
    <rPh sb="13" eb="14">
      <t>コ</t>
    </rPh>
    <rPh sb="16" eb="18">
      <t>バアイ</t>
    </rPh>
    <rPh sb="22" eb="23">
      <t>タ</t>
    </rPh>
    <rPh sb="24" eb="27">
      <t>ケンチクブツ</t>
    </rPh>
    <rPh sb="28" eb="29">
      <t>ラン</t>
    </rPh>
    <rPh sb="29" eb="30">
      <t>ラン</t>
    </rPh>
    <rPh sb="30" eb="33">
      <t>テスウリョウ</t>
    </rPh>
    <phoneticPr fontId="16"/>
  </si>
  <si>
    <t>・中間検査の面積は、当該特定工程の部分までの床面積の合計とします。</t>
    <rPh sb="0" eb="2">
      <t>チュウカン</t>
    </rPh>
    <rPh sb="3" eb="5">
      <t>ケンサ</t>
    </rPh>
    <rPh sb="6" eb="8">
      <t>メンセキ</t>
    </rPh>
    <rPh sb="10" eb="12">
      <t>トウガイ</t>
    </rPh>
    <rPh sb="12" eb="16">
      <t>トクテイコウテイ</t>
    </rPh>
    <rPh sb="17" eb="19">
      <t>ブブン</t>
    </rPh>
    <rPh sb="22" eb="25">
      <t>ユカメンセキ</t>
    </rPh>
    <rPh sb="26" eb="28">
      <t>ゴウケイ</t>
    </rPh>
    <phoneticPr fontId="16"/>
  </si>
  <si>
    <t>・仮使用認定にて省エネ適判の検査が必要な場合は、仮使用認定基本手数料の20％の料金が加算されます。</t>
    <rPh sb="1" eb="4">
      <t>カリシヨウ</t>
    </rPh>
    <rPh sb="4" eb="6">
      <t>ニンテイ</t>
    </rPh>
    <rPh sb="8" eb="9">
      <t>ショウ</t>
    </rPh>
    <rPh sb="11" eb="13">
      <t>テキハン</t>
    </rPh>
    <rPh sb="14" eb="16">
      <t>ケンサ</t>
    </rPh>
    <rPh sb="17" eb="19">
      <t>ヒツヨウ</t>
    </rPh>
    <rPh sb="20" eb="22">
      <t>バアイ</t>
    </rPh>
    <rPh sb="24" eb="29">
      <t>カリシヨウニンテイ</t>
    </rPh>
    <rPh sb="29" eb="34">
      <t>キホンテスウリョウ</t>
    </rPh>
    <rPh sb="39" eb="41">
      <t>リョウキン</t>
    </rPh>
    <rPh sb="42" eb="44">
      <t>カサン</t>
    </rPh>
    <phoneticPr fontId="16"/>
  </si>
  <si>
    <t>・省エネ適判を他機関にて実施した仮使用認定・完了検査は、その基本手数料の20％の料金が加算されます。</t>
    <rPh sb="1" eb="2">
      <t>ショウ</t>
    </rPh>
    <rPh sb="4" eb="6">
      <t>テキハン</t>
    </rPh>
    <rPh sb="7" eb="8">
      <t>タ</t>
    </rPh>
    <rPh sb="8" eb="10">
      <t>キカン</t>
    </rPh>
    <rPh sb="12" eb="14">
      <t>ジッシ</t>
    </rPh>
    <rPh sb="16" eb="19">
      <t>カリシヨウ</t>
    </rPh>
    <rPh sb="19" eb="21">
      <t>ニンテイ</t>
    </rPh>
    <rPh sb="22" eb="24">
      <t>カンリョウ</t>
    </rPh>
    <rPh sb="24" eb="26">
      <t>ケンサ</t>
    </rPh>
    <rPh sb="30" eb="35">
      <t>キホンテスウリョウ</t>
    </rPh>
    <rPh sb="40" eb="42">
      <t>リョウキン</t>
    </rPh>
    <rPh sb="43" eb="45">
      <t>カサン</t>
    </rPh>
    <phoneticPr fontId="16"/>
  </si>
  <si>
    <t>・仮使用認定を実施した場合の完了検査の基本手数料を算出する床面積は、仮使用中の範囲に関わらず、確認申請の床面積によります。</t>
    <rPh sb="1" eb="4">
      <t>カリシヨウ</t>
    </rPh>
    <rPh sb="4" eb="6">
      <t>ニンテイ</t>
    </rPh>
    <rPh sb="7" eb="9">
      <t>ジッシ</t>
    </rPh>
    <rPh sb="11" eb="13">
      <t>バアイ</t>
    </rPh>
    <rPh sb="14" eb="16">
      <t>カンリョウ</t>
    </rPh>
    <rPh sb="16" eb="18">
      <t>ケンサ</t>
    </rPh>
    <rPh sb="19" eb="21">
      <t>キホン</t>
    </rPh>
    <rPh sb="21" eb="24">
      <t>テスウリョウ</t>
    </rPh>
    <rPh sb="25" eb="27">
      <t>サンシュツ</t>
    </rPh>
    <rPh sb="29" eb="32">
      <t>ユカメンセキ</t>
    </rPh>
    <rPh sb="34" eb="37">
      <t>カリシヨウ</t>
    </rPh>
    <rPh sb="37" eb="38">
      <t>チュウ</t>
    </rPh>
    <rPh sb="39" eb="41">
      <t>ハンイ</t>
    </rPh>
    <rPh sb="42" eb="43">
      <t>カカ</t>
    </rPh>
    <rPh sb="47" eb="49">
      <t>カクニン</t>
    </rPh>
    <rPh sb="49" eb="51">
      <t>シンセイ</t>
    </rPh>
    <rPh sb="52" eb="55">
      <t>ユカメンセキ</t>
    </rPh>
    <phoneticPr fontId="16"/>
  </si>
  <si>
    <t>・完了検査で、省エネ適判を適用した棟数が２以上ある場合は、1棟毎に完了検査基本手数料の10％が加算されます。</t>
    <rPh sb="1" eb="3">
      <t>カンリョウ</t>
    </rPh>
    <rPh sb="3" eb="5">
      <t>ケンサ</t>
    </rPh>
    <rPh sb="7" eb="8">
      <t>ショウ</t>
    </rPh>
    <rPh sb="10" eb="12">
      <t>テキハン</t>
    </rPh>
    <rPh sb="13" eb="15">
      <t>テキヨウ</t>
    </rPh>
    <rPh sb="17" eb="19">
      <t>トウスウ</t>
    </rPh>
    <rPh sb="21" eb="23">
      <t>イジョウ</t>
    </rPh>
    <rPh sb="25" eb="27">
      <t>バアイ</t>
    </rPh>
    <rPh sb="30" eb="31">
      <t>トウ</t>
    </rPh>
    <rPh sb="31" eb="32">
      <t>ゴト</t>
    </rPh>
    <rPh sb="33" eb="35">
      <t>カンリョウ</t>
    </rPh>
    <rPh sb="35" eb="37">
      <t>ケンサ</t>
    </rPh>
    <rPh sb="37" eb="42">
      <t>キホンテスウリョウ</t>
    </rPh>
    <rPh sb="47" eb="49">
      <t>カサン</t>
    </rPh>
    <phoneticPr fontId="16"/>
  </si>
  <si>
    <t>2.申請方法・意匠設備省エネ関係加算手数料</t>
    <rPh sb="2" eb="4">
      <t>シンセイ</t>
    </rPh>
    <rPh sb="4" eb="6">
      <t>ホウホウ</t>
    </rPh>
    <rPh sb="7" eb="9">
      <t>イショウ</t>
    </rPh>
    <rPh sb="9" eb="11">
      <t>セツビ</t>
    </rPh>
    <rPh sb="11" eb="12">
      <t>ショウ</t>
    </rPh>
    <rPh sb="14" eb="16">
      <t>カンケイ</t>
    </rPh>
    <rPh sb="16" eb="18">
      <t>カサン</t>
    </rPh>
    <rPh sb="18" eb="21">
      <t>テスウリョウ</t>
    </rPh>
    <phoneticPr fontId="16"/>
  </si>
  <si>
    <t>・表に該当しない性能規定等は別途お見積りいたします。</t>
    <rPh sb="1" eb="2">
      <t>ヒョウ</t>
    </rPh>
    <rPh sb="3" eb="5">
      <t>ガイトウ</t>
    </rPh>
    <rPh sb="8" eb="10">
      <t>セイノウ</t>
    </rPh>
    <rPh sb="10" eb="12">
      <t>キテイ</t>
    </rPh>
    <rPh sb="12" eb="13">
      <t>トウ</t>
    </rPh>
    <rPh sb="14" eb="16">
      <t>ベット</t>
    </rPh>
    <rPh sb="17" eb="19">
      <t>ミツモ</t>
    </rPh>
    <phoneticPr fontId="16"/>
  </si>
  <si>
    <t>・増築等で既存部の審査が過半を占めるもの、既存部の構造計算の審査を要するもの、別途見積もりとする場合があります。</t>
    <rPh sb="1" eb="3">
      <t>ゾウチク</t>
    </rPh>
    <rPh sb="3" eb="4">
      <t>トウ</t>
    </rPh>
    <rPh sb="5" eb="7">
      <t>キゾン</t>
    </rPh>
    <rPh sb="7" eb="8">
      <t>ブ</t>
    </rPh>
    <rPh sb="9" eb="11">
      <t>シンサ</t>
    </rPh>
    <rPh sb="12" eb="14">
      <t>カハン</t>
    </rPh>
    <rPh sb="15" eb="16">
      <t>シ</t>
    </rPh>
    <rPh sb="21" eb="24">
      <t>キゾンブ</t>
    </rPh>
    <rPh sb="25" eb="27">
      <t>コウゾウ</t>
    </rPh>
    <rPh sb="27" eb="29">
      <t>ケイサン</t>
    </rPh>
    <rPh sb="30" eb="32">
      <t>シンサ</t>
    </rPh>
    <rPh sb="33" eb="34">
      <t>ヨウ</t>
    </rPh>
    <rPh sb="39" eb="41">
      <t>ベット</t>
    </rPh>
    <rPh sb="41" eb="43">
      <t>ミツ</t>
    </rPh>
    <rPh sb="48" eb="50">
      <t>バアイ</t>
    </rPh>
    <phoneticPr fontId="16"/>
  </si>
  <si>
    <t>・検査済証が無く、新国交省ガイドラインに則る設計者による調査を基とする増築等の場合、別途見積もりとなります。</t>
    <rPh sb="1" eb="5">
      <t>ケンサスミショウ</t>
    </rPh>
    <rPh sb="6" eb="7">
      <t>ナ</t>
    </rPh>
    <rPh sb="9" eb="10">
      <t>シン</t>
    </rPh>
    <rPh sb="10" eb="13">
      <t>コッコウショウ</t>
    </rPh>
    <rPh sb="20" eb="21">
      <t>ノット</t>
    </rPh>
    <rPh sb="22" eb="25">
      <t>セッケイシャ</t>
    </rPh>
    <rPh sb="28" eb="30">
      <t>チョウサ</t>
    </rPh>
    <rPh sb="31" eb="32">
      <t>モト</t>
    </rPh>
    <rPh sb="35" eb="37">
      <t>ゾウチク</t>
    </rPh>
    <rPh sb="37" eb="38">
      <t>トウ</t>
    </rPh>
    <rPh sb="39" eb="41">
      <t>バアイ</t>
    </rPh>
    <rPh sb="42" eb="44">
      <t>ベット</t>
    </rPh>
    <rPh sb="44" eb="46">
      <t>ミツ</t>
    </rPh>
    <phoneticPr fontId="16"/>
  </si>
  <si>
    <t>・適用される棟ごとに加算されます</t>
    <rPh sb="1" eb="3">
      <t>テキヨウ</t>
    </rPh>
    <rPh sb="6" eb="7">
      <t>トウ</t>
    </rPh>
    <rPh sb="10" eb="12">
      <t>カサン</t>
    </rPh>
    <phoneticPr fontId="16"/>
  </si>
  <si>
    <t>0-100㎡以内</t>
  </si>
  <si>
    <t>100-150㎡以内</t>
  </si>
  <si>
    <t>300-500㎡以内</t>
  </si>
  <si>
    <t>500-1,000㎡以内</t>
  </si>
  <si>
    <t>1,000-2,000㎡以内</t>
  </si>
  <si>
    <t>2,000-3,000㎡以内</t>
  </si>
  <si>
    <t>3,000-4,000㎡以内</t>
  </si>
  <si>
    <t>4,000-5,000㎡以内</t>
  </si>
  <si>
    <t>5,000-6,000㎡以内</t>
  </si>
  <si>
    <t>6,000-8,000㎡以内</t>
  </si>
  <si>
    <t>8,000-10,000㎡以内</t>
  </si>
  <si>
    <t>20,000-30,000㎡以内</t>
  </si>
  <si>
    <t>30,000-40,000㎡以内</t>
  </si>
  <si>
    <t>40,000-50,000㎡以内</t>
  </si>
  <si>
    <t>100,000-200,000㎡以内</t>
  </si>
  <si>
    <t>200,000㎡を超えるもの</t>
    <rPh sb="8" eb="9">
      <t>コ</t>
    </rPh>
    <phoneticPr fontId="4"/>
  </si>
  <si>
    <t>・中間検査、完了検査及び仮使用認定には、基本手数料の他に「6．検査手数料及び仮使用認定手数料に加算される出張交通費」が必要となります。</t>
    <rPh sb="0" eb="1">
      <t>チュウカン</t>
    </rPh>
    <rPh sb="2" eb="4">
      <t>ケンサ</t>
    </rPh>
    <rPh sb="5" eb="7">
      <t>カンリョウ</t>
    </rPh>
    <rPh sb="6" eb="8">
      <t>ケンサ</t>
    </rPh>
    <rPh sb="9" eb="10">
      <t>オヨ</t>
    </rPh>
    <rPh sb="11" eb="14">
      <t>カリシヨウ</t>
    </rPh>
    <rPh sb="14" eb="16">
      <t>ニンテイ</t>
    </rPh>
    <rPh sb="19" eb="24">
      <t>キホンテスウリョウ</t>
    </rPh>
    <rPh sb="25" eb="26">
      <t>ホカ</t>
    </rPh>
    <rPh sb="58" eb="60">
      <t>ヒツヨウ</t>
    </rPh>
    <phoneticPr fontId="16"/>
  </si>
  <si>
    <t>・構造計算一貫プログラム以外のもの：MIDASGEN、Multiframe</t>
    <rPh sb="1" eb="3">
      <t>コウゾウ</t>
    </rPh>
    <rPh sb="3" eb="5">
      <t>ケイサン</t>
    </rPh>
    <rPh sb="5" eb="7">
      <t>イッカン</t>
    </rPh>
    <rPh sb="12" eb="14">
      <t>イガイ</t>
    </rPh>
    <phoneticPr fontId="16"/>
  </si>
  <si>
    <t>②直前の確認済証の交付を当社から受けていない計画変更確認の申請手数料</t>
    <rPh sb="1" eb="3">
      <t>チョクゼン</t>
    </rPh>
    <rPh sb="4" eb="6">
      <t>カクニン</t>
    </rPh>
    <rPh sb="6" eb="7">
      <t>ズ</t>
    </rPh>
    <rPh sb="7" eb="8">
      <t>ショウ</t>
    </rPh>
    <rPh sb="9" eb="11">
      <t>コウフ</t>
    </rPh>
    <rPh sb="12" eb="14">
      <t>トウシャ</t>
    </rPh>
    <rPh sb="16" eb="17">
      <t>ウ</t>
    </rPh>
    <rPh sb="22" eb="24">
      <t>ケイカク</t>
    </rPh>
    <rPh sb="24" eb="26">
      <t>ヘンコウ</t>
    </rPh>
    <rPh sb="26" eb="28">
      <t>カクニン</t>
    </rPh>
    <rPh sb="29" eb="31">
      <t>シンセイ</t>
    </rPh>
    <rPh sb="31" eb="34">
      <t>テスウリョウ</t>
    </rPh>
    <phoneticPr fontId="16"/>
  </si>
  <si>
    <t>③完了検査追加説明書の手数料</t>
    <rPh sb="1" eb="3">
      <t>カンリョウ</t>
    </rPh>
    <rPh sb="3" eb="5">
      <t>ケンサ</t>
    </rPh>
    <rPh sb="5" eb="7">
      <t>ツイカ</t>
    </rPh>
    <rPh sb="7" eb="10">
      <t>セツメイショ</t>
    </rPh>
    <rPh sb="11" eb="14">
      <t>テスウリョウ</t>
    </rPh>
    <phoneticPr fontId="16"/>
  </si>
  <si>
    <t>計画変更手数料と同額とします。</t>
    <rPh sb="0" eb="2">
      <t>ケイカク</t>
    </rPh>
    <rPh sb="2" eb="4">
      <t>ヘンコウ</t>
    </rPh>
    <rPh sb="4" eb="7">
      <t>テスウリョウ</t>
    </rPh>
    <rPh sb="8" eb="10">
      <t>ドウガク</t>
    </rPh>
    <phoneticPr fontId="16"/>
  </si>
  <si>
    <t>法６条の４による確認の特例有の建築物</t>
  </si>
  <si>
    <t>一戸建て（構造込み）</t>
    <phoneticPr fontId="4"/>
  </si>
  <si>
    <t>その他の建築物（旧法6条４号で上記に該当しないものを含む）</t>
    <phoneticPr fontId="4"/>
  </si>
  <si>
    <t>標準・主要室入力法</t>
    <rPh sb="0" eb="1">
      <t>ヒョウジュン</t>
    </rPh>
    <rPh sb="2" eb="5">
      <t>シュヨウシツ</t>
    </rPh>
    <rPh sb="5" eb="8">
      <t>ニュウリョクホウ</t>
    </rPh>
    <phoneticPr fontId="4"/>
  </si>
  <si>
    <t>【御見積条件】</t>
  </si>
  <si>
    <t>　応じた金額の60％とします。</t>
  </si>
  <si>
    <t>3.構造関係加算手数料</t>
  </si>
  <si>
    <t>建築物全体の応力を構造計算一貫プログラムによらずに解析したもの</t>
  </si>
  <si>
    <t>土砂災害特別警戒区域内で居室を有するもの</t>
  </si>
  <si>
    <t>全館避難安全検証法</t>
  </si>
  <si>
    <t>防火区画・耐火性能検証法全検証法</t>
  </si>
  <si>
    <t>構造強度にかかる審査を要する計画変更</t>
  </si>
  <si>
    <t>構造強度にかかる審査を要しない計画変更</t>
  </si>
  <si>
    <t>紙による確認申請</t>
  </si>
  <si>
    <t>1.確認検査基本手数料</t>
  </si>
  <si>
    <t>入力シート</t>
    <rPh sb="0" eb="2">
      <t>ニュウリョク</t>
    </rPh>
    <phoneticPr fontId="4"/>
  </si>
  <si>
    <t>支店住所</t>
    <rPh sb="0" eb="2">
      <t>シテン</t>
    </rPh>
    <rPh sb="2" eb="4">
      <t>ジュウショ</t>
    </rPh>
    <phoneticPr fontId="4"/>
  </si>
  <si>
    <t>仮使用認定基本手数料</t>
    <rPh sb="0" eb="2">
      <t>カリシヨウ</t>
    </rPh>
    <rPh sb="3" eb="5">
      <t>ニンテイ</t>
    </rPh>
    <rPh sb="5" eb="7">
      <t>キホン</t>
    </rPh>
    <rPh sb="7" eb="10">
      <t>テスウリョウ</t>
    </rPh>
    <phoneticPr fontId="16"/>
  </si>
  <si>
    <t>完了検査基本手数料省エネ適判あり</t>
    <rPh sb="0" eb="2">
      <t>カンリョウ</t>
    </rPh>
    <rPh sb="2" eb="4">
      <t>ケンサ</t>
    </rPh>
    <rPh sb="4" eb="6">
      <t>キホン</t>
    </rPh>
    <rPh sb="6" eb="9">
      <t>テスウリョウ</t>
    </rPh>
    <rPh sb="9" eb="10">
      <t>ショウ</t>
    </rPh>
    <rPh sb="12" eb="14">
      <t>テキハン</t>
    </rPh>
    <phoneticPr fontId="4"/>
  </si>
  <si>
    <t>特定天井等の審査特定天井</t>
  </si>
  <si>
    <t>特定天井等の審査落下防止措置</t>
  </si>
  <si>
    <t>(単位：円)</t>
  </si>
  <si>
    <t>4.計画変更、軽微変更等(直前の確認済証の交付を当社から受けている)</t>
    <rPh sb="0" eb="2">
      <t>チョクゼン</t>
    </rPh>
    <rPh sb="3" eb="5">
      <t>カクニン</t>
    </rPh>
    <rPh sb="5" eb="6">
      <t>ズミ</t>
    </rPh>
    <rPh sb="6" eb="7">
      <t>ショウ</t>
    </rPh>
    <rPh sb="8" eb="10">
      <t>コウフトウシャウケイカクヘンコウケイビヘンコウトウ</t>
    </rPh>
    <phoneticPr fontId="16"/>
  </si>
  <si>
    <t>副本(控え)への受付印等の押印</t>
  </si>
  <si>
    <t>天空率各種天空率(領域の数に関わらず一律)</t>
  </si>
  <si>
    <t>用途変更、増築、改築、移転、大規模な模様替え・修繕(新ガイドライン調査によるものを除く)</t>
    <rPh sb="0" eb="2">
      <t>ヘンコウ</t>
    </rPh>
    <rPh sb="3" eb="5">
      <t>ゾウチク</t>
    </rPh>
    <rPh sb="6" eb="8">
      <t>カイチク</t>
    </rPh>
    <rPh sb="9" eb="11">
      <t>イテン</t>
    </rPh>
    <rPh sb="12" eb="15">
      <t>ダイキボ</t>
    </rPh>
    <rPh sb="16" eb="19">
      <t>モヨウガ</t>
    </rPh>
    <rPh sb="21" eb="23">
      <t>シュウゼン</t>
    </rPh>
    <rPh sb="24" eb="25">
      <t>シン</t>
    </rPh>
    <rPh sb="31" eb="33">
      <t>チョウサ</t>
    </rPh>
    <rPh sb="39" eb="40">
      <t>ノゾ</t>
    </rPh>
    <phoneticPr fontId="16"/>
  </si>
  <si>
    <t>限界耐力計算又は免震(大臣認定を除く)等の審査を要するもの</t>
  </si>
  <si>
    <t>そのうち、変更内容が小規模な計画変更(※)</t>
  </si>
  <si>
    <t>0-100㎡以内(3号)</t>
    <rPh sb="8" eb="9">
      <t>ゴウ</t>
    </rPh>
    <phoneticPr fontId="4"/>
  </si>
  <si>
    <t>100-200㎡以内(3号)</t>
    <rPh sb="10" eb="11">
      <t>ゴウ</t>
    </rPh>
    <phoneticPr fontId="4"/>
  </si>
  <si>
    <t>一戸建て
(構造込み)</t>
  </si>
  <si>
    <t>直前の確認済証の交付を当社から受けていない計画変更確認の申請手数料は「確認申請手数料(第2条)」の規定を適用する。</t>
    <rPh sb="0" eb="2">
      <t>チョクゼン</t>
    </rPh>
    <rPh sb="3" eb="5">
      <t>カクニン</t>
    </rPh>
    <rPh sb="5" eb="6">
      <t>ズ</t>
    </rPh>
    <rPh sb="6" eb="7">
      <t>ショウ</t>
    </rPh>
    <rPh sb="8" eb="10">
      <t>コウフ</t>
    </rPh>
    <rPh sb="11" eb="13">
      <t>トウシャ</t>
    </rPh>
    <rPh sb="15" eb="16">
      <t>ウ</t>
    </rPh>
    <rPh sb="21" eb="23">
      <t>ケイカク</t>
    </rPh>
    <rPh sb="23" eb="25">
      <t>ヘンコウ</t>
    </rPh>
    <rPh sb="25" eb="27">
      <t>カクニン</t>
    </rPh>
    <rPh sb="28" eb="30">
      <t>シンセイ</t>
    </rPh>
    <rPh sb="30" eb="33">
      <t>テスウリョウ</t>
    </rPh>
    <rPh sb="35" eb="37">
      <t>カクニン</t>
    </rPh>
    <rPh sb="37" eb="39">
      <t>シンセイ</t>
    </rPh>
    <rPh sb="39" eb="42">
      <t>テスウリョウ</t>
    </rPh>
    <rPh sb="43" eb="44">
      <t>ダイ</t>
    </rPh>
    <rPh sb="45" eb="46">
      <t>ジョウ</t>
    </rPh>
    <phoneticPr fontId="16"/>
  </si>
  <si>
    <t>・省エネ標準計算(省エネ適判)と仕様基準を併用する場合、省エネ適判の手数料とは別で、確認申請手数料に仕様基準の手数料が加算されます。</t>
    <rPh sb="1" eb="2">
      <t>ショウ</t>
    </rPh>
    <rPh sb="4" eb="6">
      <t>ヒョウジュン</t>
    </rPh>
    <rPh sb="6" eb="8">
      <t>ケイサン</t>
    </rPh>
    <rPh sb="9" eb="10">
      <t>ショウ</t>
    </rPh>
    <rPh sb="12" eb="14">
      <t>テキハン</t>
    </rPh>
    <rPh sb="16" eb="18">
      <t>シヨウ</t>
    </rPh>
    <rPh sb="18" eb="20">
      <t>キジュン</t>
    </rPh>
    <rPh sb="21" eb="23">
      <t>ヘイヨウ</t>
    </rPh>
    <rPh sb="25" eb="27">
      <t>バアイ</t>
    </rPh>
    <rPh sb="28" eb="29">
      <t>ショウ</t>
    </rPh>
    <rPh sb="31" eb="33">
      <t>テキハン</t>
    </rPh>
    <rPh sb="34" eb="37">
      <t>テスウリョウ</t>
    </rPh>
    <rPh sb="39" eb="40">
      <t>ベツ</t>
    </rPh>
    <rPh sb="42" eb="44">
      <t>カクニン</t>
    </rPh>
    <rPh sb="44" eb="46">
      <t>シンセイ</t>
    </rPh>
    <rPh sb="46" eb="49">
      <t>テスウリョウ</t>
    </rPh>
    <rPh sb="50" eb="52">
      <t>シヨウ</t>
    </rPh>
    <rPh sb="52" eb="54">
      <t>キジュン</t>
    </rPh>
    <rPh sb="55" eb="58">
      <t>テスウリョウ</t>
    </rPh>
    <rPh sb="59" eb="61">
      <t>カサン</t>
    </rPh>
    <phoneticPr fontId="16"/>
  </si>
  <si>
    <t>④計画変更・完了検査追加説明書で新法(令7.4.1施行)への法適合確認が必要な場合、手数料(表1～3)が適用されます。</t>
    <rPh sb="1" eb="5">
      <t>ケイカクヘンコウ</t>
    </rPh>
    <rPh sb="6" eb="8">
      <t>カンリョウ</t>
    </rPh>
    <rPh sb="8" eb="10">
      <t>ケンサ</t>
    </rPh>
    <rPh sb="10" eb="12">
      <t>ツイカ</t>
    </rPh>
    <rPh sb="12" eb="15">
      <t>セツメイショ</t>
    </rPh>
    <rPh sb="16" eb="18">
      <t>シンポウ</t>
    </rPh>
    <rPh sb="19" eb="20">
      <t>レイ</t>
    </rPh>
    <rPh sb="25" eb="27">
      <t>シコウ</t>
    </rPh>
    <rPh sb="30" eb="33">
      <t>ホウテキゴウ</t>
    </rPh>
    <rPh sb="33" eb="35">
      <t>カクニン</t>
    </rPh>
    <rPh sb="36" eb="38">
      <t>ヒツヨウ</t>
    </rPh>
    <rPh sb="39" eb="41">
      <t>バアイ</t>
    </rPh>
    <rPh sb="42" eb="45">
      <t>テスウリョウ</t>
    </rPh>
    <rPh sb="46" eb="47">
      <t>ヒョウ</t>
    </rPh>
    <rPh sb="52" eb="54">
      <t>テキヨウ</t>
    </rPh>
    <phoneticPr fontId="16"/>
  </si>
  <si>
    <t>・完了検査で、非住宅を標準建物法、住宅を仕様基準以外の方法(長期優良・設計性能評価等含む)による場合、基本手数料に20％加算されます。</t>
    <rPh sb="1" eb="3">
      <t>カンリョウ</t>
    </rPh>
    <rPh sb="3" eb="5">
      <t>ケンサ</t>
    </rPh>
    <rPh sb="7" eb="10">
      <t>ヒジュウタク</t>
    </rPh>
    <rPh sb="11" eb="13">
      <t>ヒョウジュン</t>
    </rPh>
    <rPh sb="13" eb="15">
      <t>タテモノ</t>
    </rPh>
    <rPh sb="15" eb="16">
      <t>ホウ</t>
    </rPh>
    <rPh sb="17" eb="19">
      <t>ジュウタク</t>
    </rPh>
    <rPh sb="20" eb="24">
      <t>シヨウキジュン</t>
    </rPh>
    <rPh sb="24" eb="26">
      <t>イガイ</t>
    </rPh>
    <rPh sb="27" eb="29">
      <t>ホウホウ</t>
    </rPh>
    <rPh sb="30" eb="32">
      <t>チョウキ</t>
    </rPh>
    <rPh sb="32" eb="34">
      <t>ユウリョウ</t>
    </rPh>
    <rPh sb="35" eb="37">
      <t>セッケイ</t>
    </rPh>
    <rPh sb="37" eb="39">
      <t>セイノウ</t>
    </rPh>
    <rPh sb="39" eb="41">
      <t>ヒョウカ</t>
    </rPh>
    <rPh sb="41" eb="42">
      <t>トウ</t>
    </rPh>
    <rPh sb="42" eb="43">
      <t>フク</t>
    </rPh>
    <rPh sb="48" eb="50">
      <t>バアイ</t>
    </rPh>
    <rPh sb="51" eb="56">
      <t>キホンテスウリョウ</t>
    </rPh>
    <rPh sb="60" eb="62">
      <t>カサン</t>
    </rPh>
    <phoneticPr fontId="16"/>
  </si>
  <si>
    <t>その他の建築物(旧法6条４号で上記に該当しないものを含む)</t>
    <phoneticPr fontId="4"/>
  </si>
  <si>
    <t>加算手数料</t>
    <rPh sb="0" eb="2">
      <t>カサン</t>
    </rPh>
    <rPh sb="1" eb="4">
      <t>テスウリョウ</t>
    </rPh>
    <phoneticPr fontId="4"/>
  </si>
  <si>
    <t>〒150-0002  東京都渋谷区渋谷1-13-9</t>
    <phoneticPr fontId="4"/>
  </si>
  <si>
    <t>省エネ基準省令に基づく基準による審査(仕様基準)</t>
    <phoneticPr fontId="4"/>
  </si>
  <si>
    <t>一戸建ての住宅・併用住宅の住宅部分</t>
    <phoneticPr fontId="16"/>
  </si>
  <si>
    <t>出張交通費</t>
    <rPh sb="0" eb="2">
      <t>シュッチョウ</t>
    </rPh>
    <rPh sb="2" eb="5">
      <t>コウツウヒ</t>
    </rPh>
    <phoneticPr fontId="4"/>
  </si>
  <si>
    <t>出張費及び交通費（当機関規定による）【課税対象、消費税込み】</t>
    <rPh sb="0" eb="2">
      <t>シュッチョウ</t>
    </rPh>
    <rPh sb="2" eb="3">
      <t>ヒ</t>
    </rPh>
    <rPh sb="3" eb="5">
      <t>オ</t>
    </rPh>
    <rPh sb="5" eb="8">
      <t>コウツウヒ</t>
    </rPh>
    <rPh sb="9" eb="10">
      <t>トウ</t>
    </rPh>
    <rPh sb="10" eb="12">
      <t>キカン</t>
    </rPh>
    <rPh sb="12" eb="14">
      <t>キテイ</t>
    </rPh>
    <rPh sb="19" eb="21">
      <t>カゼイ</t>
    </rPh>
    <rPh sb="21" eb="23">
      <t>タイショウ</t>
    </rPh>
    <rPh sb="24" eb="27">
      <t>ショウヒゼイ</t>
    </rPh>
    <rPh sb="27" eb="28">
      <t>コ</t>
    </rPh>
    <phoneticPr fontId="4"/>
  </si>
  <si>
    <t>2025.4.1-</t>
    <phoneticPr fontId="4"/>
  </si>
  <si>
    <t>【建築物】　建築物エネルギー消費性能適合性判定業務【課税対象】</t>
    <rPh sb="1" eb="4">
      <t>ケンチクブツ</t>
    </rPh>
    <rPh sb="26" eb="28">
      <t>カゼイ</t>
    </rPh>
    <rPh sb="28" eb="30">
      <t>タイショウ</t>
    </rPh>
    <phoneticPr fontId="4"/>
  </si>
  <si>
    <t>モデル建物法</t>
    <rPh sb="2" eb="4">
      <t>タテモノ</t>
    </rPh>
    <rPh sb="4" eb="5">
      <t>ホウ</t>
    </rPh>
    <phoneticPr fontId="4"/>
  </si>
  <si>
    <t>住宅</t>
    <rPh sb="0" eb="1">
      <t>ジュウタク</t>
    </rPh>
    <phoneticPr fontId="4"/>
  </si>
  <si>
    <t>省エネ</t>
    <phoneticPr fontId="4"/>
  </si>
  <si>
    <t>0-100㎡未満</t>
    <rPh sb="6" eb="8">
      <t>ミマン</t>
    </rPh>
    <phoneticPr fontId="4"/>
  </si>
  <si>
    <t>300-500㎡未満</t>
  </si>
  <si>
    <t>500-1,000㎡未満</t>
  </si>
  <si>
    <t>1,000-2,000㎡未満</t>
  </si>
  <si>
    <t>2,000-3,000㎡未満</t>
  </si>
  <si>
    <t>3,000-4,000㎡未満</t>
  </si>
  <si>
    <t>4,000-5,000㎡未満</t>
  </si>
  <si>
    <t>5,000-6,000㎡未満</t>
  </si>
  <si>
    <t>6,000-8,000㎡未満</t>
  </si>
  <si>
    <t>8,000-10,000㎡未満</t>
  </si>
  <si>
    <t>20,000-30,000㎡未満</t>
  </si>
  <si>
    <t>30,000-40,000㎡未満</t>
  </si>
  <si>
    <t>40,000-50,000㎡未満</t>
  </si>
  <si>
    <t>100,000-200,000㎡未満</t>
  </si>
  <si>
    <t>100-300㎡未満</t>
    <phoneticPr fontId="4"/>
  </si>
  <si>
    <t>10,000-15,000㎡未満</t>
    <phoneticPr fontId="4"/>
  </si>
  <si>
    <t>15,000-20,000㎡未満</t>
    <phoneticPr fontId="4"/>
  </si>
  <si>
    <t>50,000-700,000㎡未満</t>
    <phoneticPr fontId="4"/>
  </si>
  <si>
    <t>70,000-100,000㎡未満</t>
    <phoneticPr fontId="4"/>
  </si>
  <si>
    <t>200,000㎡～</t>
    <phoneticPr fontId="4"/>
  </si>
  <si>
    <t>①ホテル、病院、集会所、学校等</t>
    <phoneticPr fontId="16"/>
  </si>
  <si>
    <t>①ホテル、病院、集会所、学校等　１モデル</t>
    <phoneticPr fontId="16"/>
  </si>
  <si>
    <t>①ホテル、病院、集会所、学校等　２モデル</t>
    <phoneticPr fontId="16"/>
  </si>
  <si>
    <t>①ホテル、病院、集会所、学校等　３モデル</t>
    <phoneticPr fontId="16"/>
  </si>
  <si>
    <t>②事務所、百貨店、飲食店等　１モデル</t>
    <phoneticPr fontId="4"/>
  </si>
  <si>
    <t>②事務所、百貨店、飲食店等　２モデル</t>
    <phoneticPr fontId="4"/>
  </si>
  <si>
    <t>②事務所、百貨店、飲食店等　３モデル</t>
    <phoneticPr fontId="4"/>
  </si>
  <si>
    <t>③工場等　１モデル</t>
    <phoneticPr fontId="4"/>
  </si>
  <si>
    <t>①ホテル、病院、集会所、学校等　４モデル</t>
    <phoneticPr fontId="16"/>
  </si>
  <si>
    <t>②事務所、百貨店、飲食店等　4モデル</t>
    <phoneticPr fontId="4"/>
  </si>
  <si>
    <t>①ホテル、病院、集会所、学校等　5モデル以上</t>
    <rPh sb="20" eb="22">
      <t>イジョウ</t>
    </rPh>
    <phoneticPr fontId="16"/>
  </si>
  <si>
    <t>②事務所、百貨店、飲食店等　5モデル以上</t>
    <rPh sb="18" eb="20">
      <t>イジョウ</t>
    </rPh>
    <phoneticPr fontId="4"/>
  </si>
  <si>
    <t>②事務所、百貨店、飲食店等</t>
    <phoneticPr fontId="4"/>
  </si>
  <si>
    <t>③工場等</t>
    <phoneticPr fontId="4"/>
  </si>
  <si>
    <t>1.モデル建物法</t>
    <rPh sb="5" eb="8">
      <t>タテモノホウ</t>
    </rPh>
    <phoneticPr fontId="4"/>
  </si>
  <si>
    <t>2.標準・主要室入力法</t>
    <rPh sb="1" eb="3">
      <t>ヒョウジュン</t>
    </rPh>
    <rPh sb="4" eb="6">
      <t>シュヨウ</t>
    </rPh>
    <rPh sb="6" eb="7">
      <t>シツ</t>
    </rPh>
    <rPh sb="7" eb="10">
      <t>ニュウリョクホウ</t>
    </rPh>
    <phoneticPr fontId="4"/>
  </si>
  <si>
    <t>共同住宅・長屋　30戸未満の物件　基本料金</t>
    <rPh sb="0" eb="1">
      <t>キョウドウジュウタクナガヤココミマン</t>
    </rPh>
    <rPh sb="14" eb="16">
      <t>ブッケン</t>
    </rPh>
    <rPh sb="17" eb="19">
      <t>キホン</t>
    </rPh>
    <rPh sb="19" eb="21">
      <t>リョウキン</t>
    </rPh>
    <phoneticPr fontId="4"/>
  </si>
  <si>
    <t>共同住宅・長屋　30戸以上の物件　基本料金</t>
    <rPh sb="0" eb="1">
      <t>キョウドウジュウタクナガヤココミマン</t>
    </rPh>
    <rPh sb="11" eb="13">
      <t>イジョウ</t>
    </rPh>
    <rPh sb="14" eb="16">
      <t>ブッケン</t>
    </rPh>
    <rPh sb="17" eb="19">
      <t>キホン</t>
    </rPh>
    <rPh sb="19" eb="21">
      <t>リョウキン</t>
    </rPh>
    <phoneticPr fontId="4"/>
  </si>
  <si>
    <t>共同住宅・長屋　30戸未満の物件　住戸加算</t>
    <rPh sb="0" eb="1">
      <t>キョウドウジュウタクナガヤココミマン</t>
    </rPh>
    <rPh sb="14" eb="16">
      <t>ブッケン</t>
    </rPh>
    <rPh sb="17" eb="19">
      <t>ジュウコ</t>
    </rPh>
    <rPh sb="19" eb="21">
      <t>カサン</t>
    </rPh>
    <phoneticPr fontId="4"/>
  </si>
  <si>
    <t>共同住宅・長屋　30戸以上の物件　住戸加算</t>
    <rPh sb="0" eb="1">
      <t>キョウドウジュウタクナガヤココミマン</t>
    </rPh>
    <rPh sb="11" eb="13">
      <t>イジョウ</t>
    </rPh>
    <rPh sb="14" eb="16">
      <t>ブッケン</t>
    </rPh>
    <rPh sb="17" eb="19">
      <t>ジュウコ</t>
    </rPh>
    <rPh sb="19" eb="21">
      <t>カサン</t>
    </rPh>
    <phoneticPr fontId="4"/>
  </si>
  <si>
    <t>戸建・複合建築物の住宅部分（1住戸のみ）　200㎡未満</t>
    <rPh sb="25" eb="27">
      <t>ミマン</t>
    </rPh>
    <phoneticPr fontId="4"/>
  </si>
  <si>
    <t>戸建・複合建築物の住宅部分（1住戸のみ）　200㎡以上</t>
    <rPh sb="25" eb="27">
      <t>イジョウ</t>
    </rPh>
    <phoneticPr fontId="4"/>
  </si>
  <si>
    <t>共用部の審査を行う場合の加算料金　50戸まで</t>
    <rPh sb="19" eb="20">
      <t>コ</t>
    </rPh>
    <phoneticPr fontId="4"/>
  </si>
  <si>
    <t>共用部の審査を行う場合の加算料金　100戸まで</t>
    <rPh sb="20" eb="21">
      <t>コ</t>
    </rPh>
    <phoneticPr fontId="4"/>
  </si>
  <si>
    <t>3.住宅</t>
    <rPh sb="2" eb="4">
      <t>ジュウタク</t>
    </rPh>
    <phoneticPr fontId="4"/>
  </si>
  <si>
    <t>1.</t>
    <phoneticPr fontId="4"/>
  </si>
  <si>
    <t>2.</t>
    <phoneticPr fontId="4"/>
  </si>
  <si>
    <t>非住宅</t>
    <rPh sb="0" eb="3">
      <t>ヒジュウタク</t>
    </rPh>
    <phoneticPr fontId="4"/>
  </si>
  <si>
    <t>←</t>
    <phoneticPr fontId="4"/>
  </si>
  <si>
    <t>共用部の審査を行う場合の加算料金　100戸以上</t>
    <rPh sb="20" eb="21">
      <t>コ</t>
    </rPh>
    <rPh sb="21" eb="23">
      <t>イジョウ</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</si>
  <si>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</si>
  <si>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</si>
  <si>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</si>
  <si>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</si>
  <si>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</si>
  <si>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</si>
  <si>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</si>
  <si>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</si>
  <si>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</si>
  <si>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</si>
  <si>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</si>
  <si>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</si>
  <si>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</si>
  <si>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</si>
  <si>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</si>
  <si>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</si>
  <si>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</si>
  <si>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</si>
  <si>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</si>
  <si>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</si>
  <si>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</si>
  <si>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</si>
  <si>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</si>
  <si>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</si>
  <si>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</si>
  <si>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</si>
  <si>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</si>
  <si>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</si>
  <si>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</si>
  <si>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</si>
  <si>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</si>
  <si>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</si>
  <si>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</si>
  <si>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</si>
  <si>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</si>
  <si>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</si>
  <si>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</si>
  <si>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</si>
  <si>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</si>
  <si>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</si>
  <si>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</si>
  <si>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</si>
  <si>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</si>
  <si>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</si>
  <si>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</si>
  <si>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</si>
  <si>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</si>
  <si>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料金</t>
    <rPh sb="0" eb="2">
      <t>リョウキン</t>
    </rPh>
    <phoneticPr fontId="4"/>
  </si>
  <si>
    <t>東京都</t>
    <rPh sb="0" eb="3">
      <t>トウキョウト</t>
    </rPh>
    <phoneticPr fontId="31"/>
  </si>
  <si>
    <t>東京都奥多摩町</t>
    <rPh sb="0" eb="3">
      <t>トウキョウト</t>
    </rPh>
    <phoneticPr fontId="31"/>
  </si>
  <si>
    <t>東京都桧原村</t>
    <rPh sb="0" eb="3">
      <t>トウキョウト</t>
    </rPh>
    <phoneticPr fontId="31"/>
  </si>
  <si>
    <t>神奈川県秦野市</t>
    <rPh sb="0" eb="4">
      <t>カナガワケン</t>
    </rPh>
    <phoneticPr fontId="31"/>
  </si>
  <si>
    <t>神奈川県中郡</t>
    <rPh sb="0" eb="4">
      <t>カナガワケン</t>
    </rPh>
    <rPh sb="4" eb="6">
      <t>ナカグン</t>
    </rPh>
    <phoneticPr fontId="31"/>
  </si>
  <si>
    <t>神奈川県足柄上郡</t>
    <rPh sb="0" eb="4">
      <t>カナガワケン</t>
    </rPh>
    <phoneticPr fontId="31"/>
  </si>
  <si>
    <t>神奈川県小田原市</t>
    <rPh sb="0" eb="4">
      <t>カナガワケン</t>
    </rPh>
    <rPh sb="4" eb="8">
      <t>オダワラシ</t>
    </rPh>
    <phoneticPr fontId="31"/>
  </si>
  <si>
    <t>神奈川県南足柄市</t>
    <rPh sb="0" eb="4">
      <t>カナガワケン</t>
    </rPh>
    <phoneticPr fontId="31"/>
  </si>
  <si>
    <t>千葉県成田市</t>
    <rPh sb="0" eb="3">
      <t>チバケン</t>
    </rPh>
    <phoneticPr fontId="31"/>
  </si>
  <si>
    <t>千葉県香取市</t>
    <rPh sb="0" eb="3">
      <t>チバケン</t>
    </rPh>
    <phoneticPr fontId="31"/>
  </si>
  <si>
    <t>千葉県銚子市</t>
    <rPh sb="0" eb="3">
      <t>チバケン</t>
    </rPh>
    <phoneticPr fontId="31"/>
  </si>
  <si>
    <t>千葉県富里市</t>
    <rPh sb="0" eb="3">
      <t>チバケン</t>
    </rPh>
    <phoneticPr fontId="31"/>
  </si>
  <si>
    <t>千葉県木更津市</t>
    <rPh sb="0" eb="3">
      <t>チバケン</t>
    </rPh>
    <phoneticPr fontId="31"/>
  </si>
  <si>
    <t>千葉県香取郡</t>
    <rPh sb="0" eb="3">
      <t>チバケン</t>
    </rPh>
    <phoneticPr fontId="31"/>
  </si>
  <si>
    <t>千葉県</t>
    <rPh sb="0" eb="3">
      <t>チバケン</t>
    </rPh>
    <phoneticPr fontId="4"/>
  </si>
  <si>
    <t>千葉県夷隅郡</t>
    <rPh sb="0" eb="3">
      <t>チバケン</t>
    </rPh>
    <phoneticPr fontId="4"/>
  </si>
  <si>
    <t>埼玉県</t>
    <rPh sb="0" eb="3">
      <t>サイタマケン</t>
    </rPh>
    <phoneticPr fontId="4"/>
  </si>
  <si>
    <t>埼玉県羽生市</t>
    <rPh sb="0" eb="3">
      <t>サイタマケン</t>
    </rPh>
    <phoneticPr fontId="4"/>
  </si>
  <si>
    <t>埼玉県行田市</t>
    <rPh sb="0" eb="3">
      <t>サイタマケン</t>
    </rPh>
    <phoneticPr fontId="4"/>
  </si>
  <si>
    <t>埼玉県熊谷市</t>
    <rPh sb="0" eb="3">
      <t>サイタマケン</t>
    </rPh>
    <phoneticPr fontId="4"/>
  </si>
  <si>
    <t>埼玉県本庄市</t>
    <rPh sb="0" eb="3">
      <t>サイタマケン</t>
    </rPh>
    <phoneticPr fontId="4"/>
  </si>
  <si>
    <t>埼玉県深谷市</t>
    <rPh sb="0" eb="3">
      <t>サイタマケン</t>
    </rPh>
    <phoneticPr fontId="4"/>
  </si>
  <si>
    <t>埼玉県入間郡越生町</t>
    <rPh sb="0" eb="3">
      <t>サイタマケン</t>
    </rPh>
    <phoneticPr fontId="4"/>
  </si>
  <si>
    <t>埼玉県比企郡滑川町</t>
    <rPh sb="0" eb="3">
      <t>サイタマケン</t>
    </rPh>
    <phoneticPr fontId="4"/>
  </si>
  <si>
    <t>埼玉県比企郡嵐山町</t>
    <rPh sb="0" eb="3">
      <t>サイタマケン</t>
    </rPh>
    <phoneticPr fontId="4"/>
  </si>
  <si>
    <t>埼玉県比企郡小川町</t>
    <rPh sb="0" eb="3">
      <t>サイタマケン</t>
    </rPh>
    <phoneticPr fontId="4"/>
  </si>
  <si>
    <t>埼玉県比企郡ときがわ町</t>
    <rPh sb="0" eb="3">
      <t>サイタマケン</t>
    </rPh>
    <phoneticPr fontId="4"/>
  </si>
  <si>
    <t>埼玉県秩父郡</t>
    <rPh sb="0" eb="3">
      <t>サイタマケン</t>
    </rPh>
    <phoneticPr fontId="4"/>
  </si>
  <si>
    <t>埼玉県児玉郡</t>
    <rPh sb="0" eb="3">
      <t>サイタマケン</t>
    </rPh>
    <phoneticPr fontId="4"/>
  </si>
  <si>
    <t>埼玉県大里郡寄居町</t>
    <rPh sb="0" eb="3">
      <t>サイタマケン</t>
    </rPh>
    <rPh sb="3" eb="6">
      <t>オオサトグン</t>
    </rPh>
    <rPh sb="6" eb="9">
      <t>ヨリイマチ</t>
    </rPh>
    <phoneticPr fontId="4"/>
  </si>
  <si>
    <t>北海道</t>
    <rPh sb="0" eb="3">
      <t>ホッカイドウ</t>
    </rPh>
    <phoneticPr fontId="4"/>
  </si>
  <si>
    <t>大阪府</t>
    <rPh sb="0" eb="3">
      <t>オオサカフ</t>
    </rPh>
    <phoneticPr fontId="4"/>
  </si>
  <si>
    <t>兵庫県</t>
    <rPh sb="0" eb="3">
      <t>ヒョウゴケン</t>
    </rPh>
    <phoneticPr fontId="4"/>
  </si>
  <si>
    <t>京都府京丹後市</t>
    <rPh sb="0" eb="3">
      <t>キョウトフ</t>
    </rPh>
    <phoneticPr fontId="32"/>
  </si>
  <si>
    <t>奈良県</t>
    <rPh sb="0" eb="3">
      <t>ナラケン</t>
    </rPh>
    <phoneticPr fontId="4"/>
  </si>
  <si>
    <t>奈良県宇陀郡</t>
    <rPh sb="0" eb="3">
      <t>ナラケン</t>
    </rPh>
    <phoneticPr fontId="4"/>
  </si>
  <si>
    <t>奈良県吉野郡十津川村</t>
    <rPh sb="0" eb="3">
      <t>ナラケン</t>
    </rPh>
    <phoneticPr fontId="4"/>
  </si>
  <si>
    <t>奈良県吉野郡上北山村</t>
    <rPh sb="0" eb="3">
      <t>ナラケン</t>
    </rPh>
    <phoneticPr fontId="4"/>
  </si>
  <si>
    <t>岡山県</t>
    <phoneticPr fontId="4"/>
  </si>
  <si>
    <t>鳥取県</t>
    <phoneticPr fontId="4"/>
  </si>
  <si>
    <t>沖縄県</t>
    <phoneticPr fontId="4"/>
  </si>
  <si>
    <t>福岡県</t>
    <rPh sb="0" eb="3">
      <t>フクオカケン</t>
    </rPh>
    <phoneticPr fontId="4"/>
  </si>
  <si>
    <t>福岡県京都郡苅田町</t>
    <rPh sb="0" eb="3">
      <t>フクオカケン</t>
    </rPh>
    <phoneticPr fontId="4"/>
  </si>
  <si>
    <t>福岡県田川郡大任町</t>
    <rPh sb="0" eb="3">
      <t>フクオカケン</t>
    </rPh>
    <phoneticPr fontId="4"/>
  </si>
  <si>
    <t>福岡県田川郡添田町</t>
    <rPh sb="0" eb="3">
      <t>フクオカケン</t>
    </rPh>
    <phoneticPr fontId="4"/>
  </si>
  <si>
    <t>福岡県八女郡広川町</t>
    <rPh sb="0" eb="3">
      <t>フクオカケン</t>
    </rPh>
    <phoneticPr fontId="4"/>
  </si>
  <si>
    <t>福岡県三潴郡大木町</t>
    <rPh sb="0" eb="3">
      <t>フクオカケン</t>
    </rPh>
    <phoneticPr fontId="4"/>
  </si>
  <si>
    <t>福岡県朝倉郡東峰村</t>
    <rPh sb="0" eb="3">
      <t>フクオカケン</t>
    </rPh>
    <phoneticPr fontId="4"/>
  </si>
  <si>
    <t>福岡県田川市</t>
    <rPh sb="0" eb="3">
      <t>フクオカケン</t>
    </rPh>
    <phoneticPr fontId="4"/>
  </si>
  <si>
    <t>兵庫県神戸市</t>
    <rPh sb="0" eb="3">
      <t>ヒョウゴケン</t>
    </rPh>
    <phoneticPr fontId="4"/>
  </si>
  <si>
    <t>兵庫県尼崎市</t>
    <rPh sb="0" eb="3">
      <t>ヒョウゴケン</t>
    </rPh>
    <phoneticPr fontId="4"/>
  </si>
  <si>
    <t>兵庫県西宮市</t>
    <rPh sb="0" eb="3">
      <t>ヒョウゴケン</t>
    </rPh>
    <rPh sb="3" eb="6">
      <t>ニシノミヤシ</t>
    </rPh>
    <phoneticPr fontId="4"/>
  </si>
  <si>
    <t>兵庫県洲本市</t>
    <rPh sb="0" eb="3">
      <t>ヒョウゴケン</t>
    </rPh>
    <rPh sb="3" eb="6">
      <t>スモトシ</t>
    </rPh>
    <phoneticPr fontId="4"/>
  </si>
  <si>
    <t>兵庫県芦屋市</t>
    <rPh sb="0" eb="3">
      <t>ヒョウゴケン</t>
    </rPh>
    <rPh sb="3" eb="6">
      <t>アシヤシ</t>
    </rPh>
    <phoneticPr fontId="4"/>
  </si>
  <si>
    <t>兵庫県伊丹市</t>
    <rPh sb="0" eb="3">
      <t>ヒョウゴケン</t>
    </rPh>
    <rPh sb="3" eb="6">
      <t>イタミシ</t>
    </rPh>
    <phoneticPr fontId="4"/>
  </si>
  <si>
    <t>兵庫県宝塚市</t>
    <rPh sb="0" eb="3">
      <t>ヒョウゴケン</t>
    </rPh>
    <rPh sb="3" eb="6">
      <t>タカラヅカシ</t>
    </rPh>
    <phoneticPr fontId="4"/>
  </si>
  <si>
    <t>兵庫県三木市</t>
    <rPh sb="0" eb="3">
      <t>ヒョウゴケン</t>
    </rPh>
    <rPh sb="3" eb="6">
      <t>ミキシ</t>
    </rPh>
    <phoneticPr fontId="4"/>
  </si>
  <si>
    <t>兵庫県川西市</t>
    <rPh sb="0" eb="3">
      <t>ヒョウゴケン</t>
    </rPh>
    <rPh sb="3" eb="6">
      <t>カワニシシ</t>
    </rPh>
    <phoneticPr fontId="4"/>
  </si>
  <si>
    <t>兵庫県三田市</t>
    <rPh sb="0" eb="3">
      <t>ヒョウゴケン</t>
    </rPh>
    <rPh sb="3" eb="6">
      <t>サンダシ</t>
    </rPh>
    <phoneticPr fontId="4"/>
  </si>
  <si>
    <t>兵庫県加西市</t>
    <rPh sb="0" eb="3">
      <t>ヒョウゴケン</t>
    </rPh>
    <phoneticPr fontId="4"/>
  </si>
  <si>
    <t>兵庫県篠山市</t>
    <rPh sb="0" eb="3">
      <t>ヒョウゴケン</t>
    </rPh>
    <phoneticPr fontId="4"/>
  </si>
  <si>
    <t>兵庫県河辺郡猪名川町</t>
    <rPh sb="0" eb="3">
      <t>ヒョウゴケン</t>
    </rPh>
    <rPh sb="3" eb="6">
      <t>カワベグン</t>
    </rPh>
    <phoneticPr fontId="4"/>
  </si>
  <si>
    <t>佐賀県</t>
    <rPh sb="0" eb="3">
      <t>サガケン</t>
    </rPh>
    <phoneticPr fontId="4"/>
  </si>
  <si>
    <t>佐賀県神埼郡</t>
    <rPh sb="0" eb="3">
      <t>サガケン</t>
    </rPh>
    <phoneticPr fontId="4"/>
  </si>
  <si>
    <t>佐賀県三養基郡</t>
    <rPh sb="0" eb="3">
      <t>サガケン</t>
    </rPh>
    <phoneticPr fontId="4"/>
  </si>
  <si>
    <t>佐賀県佐賀市</t>
    <rPh sb="0" eb="3">
      <t>サガケン</t>
    </rPh>
    <phoneticPr fontId="4"/>
  </si>
  <si>
    <t>佐賀県唐津市</t>
    <rPh sb="0" eb="3">
      <t>サガケン</t>
    </rPh>
    <phoneticPr fontId="4"/>
  </si>
  <si>
    <t>佐賀県多久市</t>
    <rPh sb="0" eb="3">
      <t>サガケン</t>
    </rPh>
    <phoneticPr fontId="4"/>
  </si>
  <si>
    <t>佐賀県武雄市</t>
    <rPh sb="0" eb="3">
      <t>サガケン</t>
    </rPh>
    <phoneticPr fontId="4"/>
  </si>
  <si>
    <t>佐賀県小城市</t>
    <rPh sb="0" eb="3">
      <t>サガケン</t>
    </rPh>
    <phoneticPr fontId="4"/>
  </si>
  <si>
    <t>佐賀県神崎市</t>
    <rPh sb="0" eb="3">
      <t>サガケン</t>
    </rPh>
    <phoneticPr fontId="4"/>
  </si>
  <si>
    <t>佐賀県玄海市</t>
    <rPh sb="0" eb="3">
      <t>サガケン</t>
    </rPh>
    <phoneticPr fontId="4"/>
  </si>
  <si>
    <t>佐賀県杵島郡</t>
    <rPh sb="0" eb="3">
      <t>サガケン</t>
    </rPh>
    <phoneticPr fontId="4"/>
  </si>
  <si>
    <t>熊本県</t>
    <rPh sb="0" eb="3">
      <t>クマモトケン</t>
    </rPh>
    <phoneticPr fontId="4"/>
  </si>
  <si>
    <t>熊本県玉名郡</t>
    <rPh sb="0" eb="3">
      <t>クマモトケン</t>
    </rPh>
    <rPh sb="5" eb="6">
      <t>グン</t>
    </rPh>
    <phoneticPr fontId="4"/>
  </si>
  <si>
    <t>熊本県菊池郡</t>
    <rPh sb="0" eb="3">
      <t>クマモトケン</t>
    </rPh>
    <rPh sb="5" eb="6">
      <t>グン</t>
    </rPh>
    <phoneticPr fontId="4"/>
  </si>
  <si>
    <t>長崎県長崎市</t>
    <rPh sb="0" eb="3">
      <t>ナガサキケン</t>
    </rPh>
    <rPh sb="3" eb="6">
      <t>ナガサキシ</t>
    </rPh>
    <phoneticPr fontId="4"/>
  </si>
  <si>
    <t>長崎県佐世保市</t>
    <rPh sb="0" eb="3">
      <t>ナガサキケン</t>
    </rPh>
    <rPh sb="3" eb="7">
      <t>サセボシ</t>
    </rPh>
    <phoneticPr fontId="4"/>
  </si>
  <si>
    <t>長崎県諫早市</t>
    <rPh sb="0" eb="3">
      <t>ナガサキケン</t>
    </rPh>
    <rPh sb="3" eb="6">
      <t>イサハヤシ</t>
    </rPh>
    <phoneticPr fontId="4"/>
  </si>
  <si>
    <t>大分県</t>
    <rPh sb="0" eb="3">
      <t>オオイタケン</t>
    </rPh>
    <phoneticPr fontId="4"/>
  </si>
  <si>
    <t>宮崎県</t>
    <rPh sb="0" eb="3">
      <t>ミヤザキケン</t>
    </rPh>
    <phoneticPr fontId="4"/>
  </si>
  <si>
    <t>宮崎県宮崎市</t>
    <rPh sb="0" eb="3">
      <t>ミヤザキケン</t>
    </rPh>
    <phoneticPr fontId="4"/>
  </si>
  <si>
    <t>宮崎県小林市</t>
    <rPh sb="0" eb="3">
      <t>ミヤザキケン</t>
    </rPh>
    <phoneticPr fontId="4"/>
  </si>
  <si>
    <t>宮崎県えびの市</t>
    <rPh sb="0" eb="3">
      <t>ミヤザキケン</t>
    </rPh>
    <phoneticPr fontId="4"/>
  </si>
  <si>
    <t>宮崎県都城市</t>
    <rPh sb="0" eb="3">
      <t>ミヤザキケン</t>
    </rPh>
    <phoneticPr fontId="4"/>
  </si>
  <si>
    <t>鹿児島県</t>
    <rPh sb="0" eb="4">
      <t>カゴシマケン</t>
    </rPh>
    <phoneticPr fontId="4"/>
  </si>
  <si>
    <t>鹿児島県鹿児島市</t>
    <rPh sb="0" eb="4">
      <t>カゴシマケン</t>
    </rPh>
    <phoneticPr fontId="4"/>
  </si>
  <si>
    <t>鹿児島県薩摩郡さつま町</t>
    <rPh sb="0" eb="4">
      <t>カゴシマケン</t>
    </rPh>
    <rPh sb="10" eb="11">
      <t>マチ</t>
    </rPh>
    <phoneticPr fontId="4"/>
  </si>
  <si>
    <t>宮崎県北諸県郡三股町</t>
    <rPh sb="0" eb="3">
      <t>ミヤザキケン</t>
    </rPh>
    <rPh sb="7" eb="9">
      <t>ミツマタ</t>
    </rPh>
    <rPh sb="9" eb="10">
      <t>マチ</t>
    </rPh>
    <phoneticPr fontId="4"/>
  </si>
  <si>
    <t>宮崎県西諸県郡高原町</t>
    <rPh sb="0" eb="3">
      <t>ミヤザキケン</t>
    </rPh>
    <rPh sb="7" eb="9">
      <t>タカハラ</t>
    </rPh>
    <rPh sb="9" eb="10">
      <t>マチ</t>
    </rPh>
    <phoneticPr fontId="4"/>
  </si>
  <si>
    <t>鹿児島県姶良郡湧水町</t>
    <rPh sb="0" eb="4">
      <t>カゴシマケン</t>
    </rPh>
    <phoneticPr fontId="4"/>
  </si>
  <si>
    <t>山口県</t>
    <rPh sb="0" eb="3">
      <t>ヤマグチケン</t>
    </rPh>
    <phoneticPr fontId="4"/>
  </si>
  <si>
    <t>山口県山口市</t>
    <rPh sb="0" eb="3">
      <t>ヤマグチケン</t>
    </rPh>
    <phoneticPr fontId="4"/>
  </si>
  <si>
    <t>山口県周南市</t>
    <rPh sb="0" eb="3">
      <t>ヤマグチケン</t>
    </rPh>
    <phoneticPr fontId="4"/>
  </si>
  <si>
    <t>広島県</t>
    <rPh sb="0" eb="3">
      <t>ヒロシマケン</t>
    </rPh>
    <phoneticPr fontId="4"/>
  </si>
  <si>
    <t>広島県広島市</t>
    <rPh sb="0" eb="3">
      <t>ヒロシマケン</t>
    </rPh>
    <phoneticPr fontId="4"/>
  </si>
  <si>
    <t>広島県三原市</t>
    <rPh sb="0" eb="3">
      <t>ヒロシマケン</t>
    </rPh>
    <phoneticPr fontId="4"/>
  </si>
  <si>
    <t>広島県福山市</t>
    <rPh sb="0" eb="3">
      <t>ヒロシマケン</t>
    </rPh>
    <phoneticPr fontId="4"/>
  </si>
  <si>
    <t>広島県尾道市</t>
    <rPh sb="0" eb="3">
      <t>ヒロシマケン</t>
    </rPh>
    <phoneticPr fontId="4"/>
  </si>
  <si>
    <t>広島県府中市</t>
    <rPh sb="0" eb="3">
      <t>ヒロシマケン</t>
    </rPh>
    <phoneticPr fontId="4"/>
  </si>
  <si>
    <t>島根県</t>
    <rPh sb="0" eb="3">
      <t>シマネケン</t>
    </rPh>
    <phoneticPr fontId="4"/>
  </si>
  <si>
    <t>島根県鹿足郡</t>
    <rPh sb="0" eb="3">
      <t>シマネケン</t>
    </rPh>
    <phoneticPr fontId="4"/>
  </si>
  <si>
    <t>島根県益田市</t>
    <rPh sb="0" eb="3">
      <t>シマネケン</t>
    </rPh>
    <phoneticPr fontId="4"/>
  </si>
  <si>
    <t>千葉県旭市</t>
    <rPh sb="0" eb="3">
      <t>チバケン</t>
    </rPh>
    <phoneticPr fontId="31"/>
  </si>
  <si>
    <t>千葉県匝瑳市</t>
    <rPh sb="0" eb="3">
      <t>チバケン</t>
    </rPh>
    <phoneticPr fontId="31"/>
  </si>
  <si>
    <t>千葉県山武市</t>
    <rPh sb="0" eb="3">
      <t>チバケン</t>
    </rPh>
    <phoneticPr fontId="31"/>
  </si>
  <si>
    <t>千葉県東金市</t>
    <rPh sb="0" eb="3">
      <t>チバケン</t>
    </rPh>
    <phoneticPr fontId="31"/>
  </si>
  <si>
    <t>千葉県大網白里市</t>
    <rPh sb="0" eb="3">
      <t>チバケン</t>
    </rPh>
    <phoneticPr fontId="31"/>
  </si>
  <si>
    <t>千葉県茂原市</t>
    <rPh sb="0" eb="3">
      <t>チバケン</t>
    </rPh>
    <phoneticPr fontId="31"/>
  </si>
  <si>
    <t>千葉県市原市</t>
    <rPh sb="0" eb="3">
      <t>チバケン</t>
    </rPh>
    <phoneticPr fontId="31"/>
  </si>
  <si>
    <t>千葉県袖ヶ浦市</t>
    <rPh sb="0" eb="3">
      <t>チバケン</t>
    </rPh>
    <phoneticPr fontId="31"/>
  </si>
  <si>
    <t>千葉県山武郡</t>
    <rPh sb="0" eb="3">
      <t>チバケン</t>
    </rPh>
    <phoneticPr fontId="31"/>
  </si>
  <si>
    <t>千葉県長生郡</t>
    <rPh sb="0" eb="3">
      <t>チバケン</t>
    </rPh>
    <phoneticPr fontId="31"/>
  </si>
  <si>
    <t>千葉県いすみ市</t>
    <rPh sb="0" eb="3">
      <t>チバケン</t>
    </rPh>
    <phoneticPr fontId="31"/>
  </si>
  <si>
    <t>千葉県勝浦市</t>
    <rPh sb="0" eb="3">
      <t>チバケン</t>
    </rPh>
    <phoneticPr fontId="31"/>
  </si>
  <si>
    <t>千葉県富津市</t>
    <rPh sb="0" eb="3">
      <t>チバケン</t>
    </rPh>
    <phoneticPr fontId="4"/>
  </si>
  <si>
    <t>千葉県館山市</t>
    <rPh sb="0" eb="3">
      <t>チバケン</t>
    </rPh>
    <phoneticPr fontId="4"/>
  </si>
  <si>
    <t>千葉県南房総市</t>
    <rPh sb="0" eb="3">
      <t>チバケン</t>
    </rPh>
    <phoneticPr fontId="4"/>
  </si>
  <si>
    <t>千葉県鴨川市</t>
    <rPh sb="0" eb="3">
      <t>チバケン</t>
    </rPh>
    <phoneticPr fontId="4"/>
  </si>
  <si>
    <t>千葉県君津市</t>
    <rPh sb="0" eb="3">
      <t>チバケン</t>
    </rPh>
    <phoneticPr fontId="4"/>
  </si>
  <si>
    <t>千葉県安房郡</t>
    <rPh sb="0" eb="3">
      <t>チバケン</t>
    </rPh>
    <phoneticPr fontId="4"/>
  </si>
  <si>
    <t>埼玉県飯能市</t>
    <rPh sb="0" eb="3">
      <t>サイタマケン</t>
    </rPh>
    <phoneticPr fontId="4"/>
  </si>
  <si>
    <t>埼玉県秩父市</t>
    <rPh sb="0" eb="3">
      <t>サイタマケン</t>
    </rPh>
    <phoneticPr fontId="4"/>
  </si>
  <si>
    <t>埼玉県加須市</t>
    <rPh sb="0" eb="3">
      <t>サイタマケン</t>
    </rPh>
    <phoneticPr fontId="4"/>
  </si>
  <si>
    <t>埼玉県東村山市</t>
    <rPh sb="0" eb="3">
      <t>サイタマケン</t>
    </rPh>
    <phoneticPr fontId="4"/>
  </si>
  <si>
    <t>京都府京都市</t>
    <rPh sb="0" eb="3">
      <t>キョウトフ</t>
    </rPh>
    <phoneticPr fontId="32"/>
  </si>
  <si>
    <t>京都府南丹市</t>
    <rPh sb="0" eb="3">
      <t>キョウトフ</t>
    </rPh>
    <phoneticPr fontId="32"/>
  </si>
  <si>
    <t>京都府綾部市</t>
    <rPh sb="0" eb="3">
      <t>キョウトフ</t>
    </rPh>
    <phoneticPr fontId="32"/>
  </si>
  <si>
    <t>京都府舞鶴市</t>
    <rPh sb="0" eb="3">
      <t>キョウトフ</t>
    </rPh>
    <phoneticPr fontId="32"/>
  </si>
  <si>
    <t>京都府福知山市</t>
    <rPh sb="0" eb="3">
      <t>キョウトフ</t>
    </rPh>
    <phoneticPr fontId="32"/>
  </si>
  <si>
    <t>京都府宮津市</t>
    <rPh sb="0" eb="3">
      <t>キョウトフ</t>
    </rPh>
    <phoneticPr fontId="32"/>
  </si>
  <si>
    <t>京都府与謝郡伊根町</t>
    <rPh sb="0" eb="3">
      <t>キョウトフ</t>
    </rPh>
    <phoneticPr fontId="32"/>
  </si>
  <si>
    <t>京都府与謝郡与謝野町</t>
    <rPh sb="0" eb="3">
      <t>キョウトフ</t>
    </rPh>
    <phoneticPr fontId="32"/>
  </si>
  <si>
    <t>京都府船井郡京丹波町</t>
    <rPh sb="0" eb="3">
      <t>キョウトフ</t>
    </rPh>
    <phoneticPr fontId="32"/>
  </si>
  <si>
    <t>奈良県宇陀市</t>
    <rPh sb="0" eb="3">
      <t>ナラケン</t>
    </rPh>
    <phoneticPr fontId="4"/>
  </si>
  <si>
    <t>奈良県五條市</t>
    <rPh sb="0" eb="3">
      <t>ナラケン</t>
    </rPh>
    <phoneticPr fontId="4"/>
  </si>
  <si>
    <t>奈良県吉野郡下北山村</t>
    <rPh sb="0" eb="3">
      <t>ナラケン</t>
    </rPh>
    <phoneticPr fontId="4"/>
  </si>
  <si>
    <t>奈良県吉野郡野迫川村</t>
    <rPh sb="0" eb="3">
      <t>ナラケン</t>
    </rPh>
    <phoneticPr fontId="4"/>
  </si>
  <si>
    <t>奈良県吉野郡東吉野村</t>
    <rPh sb="0" eb="3">
      <t>ナラケン</t>
    </rPh>
    <phoneticPr fontId="4"/>
  </si>
  <si>
    <t>奈良県吉野郡川上村</t>
    <rPh sb="0" eb="3">
      <t>ナラケン</t>
    </rPh>
    <phoneticPr fontId="4"/>
  </si>
  <si>
    <t>奈良県吉野郡黒滝村</t>
    <rPh sb="0" eb="3">
      <t>ナラケン</t>
    </rPh>
    <phoneticPr fontId="4"/>
  </si>
  <si>
    <t>奈良県吉野郡天川村</t>
    <rPh sb="0" eb="3">
      <t>ナラケン</t>
    </rPh>
    <phoneticPr fontId="4"/>
  </si>
  <si>
    <t>福岡県朝倉市</t>
    <rPh sb="0" eb="3">
      <t>フクオカケン</t>
    </rPh>
    <phoneticPr fontId="4"/>
  </si>
  <si>
    <t>福岡県うきは市</t>
    <rPh sb="0" eb="3">
      <t>フクオカケン</t>
    </rPh>
    <phoneticPr fontId="4"/>
  </si>
  <si>
    <t>福岡県大川市</t>
    <rPh sb="0" eb="3">
      <t>フクオカケン</t>
    </rPh>
    <phoneticPr fontId="4"/>
  </si>
  <si>
    <t>福岡県大牟田市</t>
    <rPh sb="0" eb="3">
      <t>フクオカケン</t>
    </rPh>
    <phoneticPr fontId="4"/>
  </si>
  <si>
    <t>福岡県嘉麻市</t>
    <rPh sb="0" eb="3">
      <t>フクオカケン</t>
    </rPh>
    <phoneticPr fontId="4"/>
  </si>
  <si>
    <t>福岡県行橋市</t>
    <rPh sb="0" eb="3">
      <t>フクオカケン</t>
    </rPh>
    <phoneticPr fontId="4"/>
  </si>
  <si>
    <t>福岡県みやま市</t>
    <rPh sb="0" eb="3">
      <t>フクオカケン</t>
    </rPh>
    <phoneticPr fontId="4"/>
  </si>
  <si>
    <t>福岡県八女市</t>
    <rPh sb="0" eb="3">
      <t>フクオカケン</t>
    </rPh>
    <phoneticPr fontId="4"/>
  </si>
  <si>
    <t>福岡県柳川市</t>
    <rPh sb="0" eb="3">
      <t>フクオカケン</t>
    </rPh>
    <phoneticPr fontId="4"/>
  </si>
  <si>
    <t>福岡県田川郡川崎町</t>
    <rPh sb="0" eb="3">
      <t>フクオカケン</t>
    </rPh>
    <phoneticPr fontId="4"/>
  </si>
  <si>
    <t>福岡県田川郡糸田町</t>
    <rPh sb="0" eb="3">
      <t>フクオカケン</t>
    </rPh>
    <phoneticPr fontId="4"/>
  </si>
  <si>
    <t>福岡県田川郡福智町</t>
    <rPh sb="0" eb="3">
      <t>フクオカケン</t>
    </rPh>
    <phoneticPr fontId="4"/>
  </si>
  <si>
    <t>福岡県田川郡香春町</t>
    <rPh sb="0" eb="3">
      <t>フクオカケン</t>
    </rPh>
    <phoneticPr fontId="4"/>
  </si>
  <si>
    <t>佐賀県鳥栖市</t>
    <rPh sb="0" eb="3">
      <t>サガケン</t>
    </rPh>
    <phoneticPr fontId="4"/>
  </si>
  <si>
    <t>熊本県熊本市</t>
    <rPh sb="0" eb="3">
      <t>クマモトケン</t>
    </rPh>
    <phoneticPr fontId="4"/>
  </si>
  <si>
    <t>熊本県荒尾市</t>
    <rPh sb="0" eb="3">
      <t>クマモトケン</t>
    </rPh>
    <phoneticPr fontId="4"/>
  </si>
  <si>
    <t>熊本県玉名市</t>
    <rPh sb="0" eb="3">
      <t>クマモトケン</t>
    </rPh>
    <phoneticPr fontId="4"/>
  </si>
  <si>
    <t>熊本県山鹿市</t>
    <rPh sb="0" eb="3">
      <t>クマモトケン</t>
    </rPh>
    <phoneticPr fontId="4"/>
  </si>
  <si>
    <t>熊本県菊池市</t>
    <rPh sb="0" eb="3">
      <t>クマモトケン</t>
    </rPh>
    <phoneticPr fontId="4"/>
  </si>
  <si>
    <t>熊本県宇土市</t>
    <rPh sb="0" eb="3">
      <t>クマモトケン</t>
    </rPh>
    <phoneticPr fontId="4"/>
  </si>
  <si>
    <t>熊本県合志市</t>
    <rPh sb="0" eb="3">
      <t>クマモトケン</t>
    </rPh>
    <phoneticPr fontId="4"/>
  </si>
  <si>
    <t>鹿児島県阿久根市</t>
    <rPh sb="0" eb="4">
      <t>カゴシマケン</t>
    </rPh>
    <phoneticPr fontId="4"/>
  </si>
  <si>
    <t>鹿児島県姶良市</t>
    <rPh sb="0" eb="4">
      <t>カゴシマケン</t>
    </rPh>
    <phoneticPr fontId="4"/>
  </si>
  <si>
    <t>鹿児島県伊佐市</t>
    <rPh sb="0" eb="4">
      <t>カゴシマケン</t>
    </rPh>
    <phoneticPr fontId="4"/>
  </si>
  <si>
    <t>鹿児島県出水市</t>
    <rPh sb="0" eb="4">
      <t>カゴシマケン</t>
    </rPh>
    <phoneticPr fontId="4"/>
  </si>
  <si>
    <t>鹿児島県いちき串木野市</t>
    <rPh sb="0" eb="4">
      <t>カゴシマケン</t>
    </rPh>
    <phoneticPr fontId="4"/>
  </si>
  <si>
    <t>鹿児島県薩摩川内市</t>
    <rPh sb="0" eb="4">
      <t>カゴシマケン</t>
    </rPh>
    <phoneticPr fontId="4"/>
  </si>
  <si>
    <t>鹿児島県日置市</t>
    <rPh sb="0" eb="4">
      <t>カゴシマケン</t>
    </rPh>
    <phoneticPr fontId="4"/>
  </si>
  <si>
    <t>山口県下関市</t>
    <rPh sb="0" eb="3">
      <t>ヤマグチケン</t>
    </rPh>
    <phoneticPr fontId="4"/>
  </si>
  <si>
    <t>山口県山陽小野田市</t>
    <rPh sb="0" eb="3">
      <t>ヤマグチケン</t>
    </rPh>
    <phoneticPr fontId="4"/>
  </si>
  <si>
    <t>山口県宇部市</t>
    <rPh sb="0" eb="3">
      <t>ヤマグチケン</t>
    </rPh>
    <phoneticPr fontId="4"/>
  </si>
  <si>
    <t>山口県美弥市</t>
    <rPh sb="0" eb="3">
      <t>ヤマグチケン</t>
    </rPh>
    <phoneticPr fontId="4"/>
  </si>
  <si>
    <t>山口県防府市</t>
    <rPh sb="0" eb="3">
      <t>ヤマグチケン</t>
    </rPh>
    <phoneticPr fontId="4"/>
  </si>
  <si>
    <t>広島県廿日市市</t>
    <rPh sb="0" eb="3">
      <t>ヒロシマケン</t>
    </rPh>
    <phoneticPr fontId="4"/>
  </si>
  <si>
    <t>広島県大竹市</t>
    <rPh sb="0" eb="3">
      <t>ヒロシマケン</t>
    </rPh>
    <phoneticPr fontId="4"/>
  </si>
  <si>
    <t>広島県呉市</t>
    <rPh sb="0" eb="3">
      <t>ヒロシマケン</t>
    </rPh>
    <phoneticPr fontId="4"/>
  </si>
  <si>
    <t>広島県東広島市</t>
    <rPh sb="0" eb="3">
      <t>ヒロシマケン</t>
    </rPh>
    <phoneticPr fontId="4"/>
  </si>
  <si>
    <t>広島県竹原市</t>
    <rPh sb="0" eb="3">
      <t>ヒロシマケン</t>
    </rPh>
    <phoneticPr fontId="4"/>
  </si>
  <si>
    <t>島根県浜田市</t>
    <rPh sb="0" eb="3">
      <t>シマネケン</t>
    </rPh>
    <phoneticPr fontId="4"/>
  </si>
  <si>
    <t>徳島県</t>
    <phoneticPr fontId="4"/>
  </si>
  <si>
    <t>香川県</t>
    <rPh sb="0" eb="3">
      <t>カガワケン</t>
    </rPh>
    <phoneticPr fontId="4"/>
  </si>
  <si>
    <t>別途見積り</t>
    <rPh sb="0" eb="2">
      <t>ベット</t>
    </rPh>
    <rPh sb="2" eb="4">
      <t>ミツモリ</t>
    </rPh>
    <phoneticPr fontId="4"/>
  </si>
  <si>
    <t>神奈川県</t>
    <rPh sb="0" eb="4">
      <t>カナガワケン</t>
    </rPh>
    <phoneticPr fontId="4"/>
  </si>
  <si>
    <t>京都府</t>
    <rPh sb="0" eb="3">
      <t>キョウトフ</t>
    </rPh>
    <phoneticPr fontId="4"/>
  </si>
  <si>
    <t>福岡県筑後市</t>
    <rPh sb="0" eb="3">
      <t>フクオカケン</t>
    </rPh>
    <rPh sb="3" eb="6">
      <t>チクゴシ</t>
    </rPh>
    <phoneticPr fontId="4"/>
  </si>
  <si>
    <t>福岡県豊前市</t>
    <rPh sb="0" eb="3">
      <t>フクオカケン</t>
    </rPh>
    <phoneticPr fontId="4"/>
  </si>
  <si>
    <t>福岡県糸島市</t>
    <rPh sb="0" eb="3">
      <t>フクオカケン</t>
    </rPh>
    <phoneticPr fontId="4"/>
  </si>
  <si>
    <t>福岡県田川郡赤村</t>
    <rPh sb="0" eb="3">
      <t>フクオカケン</t>
    </rPh>
    <phoneticPr fontId="4"/>
  </si>
  <si>
    <t>福岡県築上郡</t>
    <rPh sb="0" eb="3">
      <t>フクオカケン</t>
    </rPh>
    <phoneticPr fontId="4"/>
  </si>
  <si>
    <t>福岡県京都郡みやこ町</t>
    <rPh sb="0" eb="3">
      <t>フクオカケン</t>
    </rPh>
    <phoneticPr fontId="4"/>
  </si>
  <si>
    <t>熊本県上益城郡御船町</t>
    <rPh sb="0" eb="3">
      <t>クマモトケン</t>
    </rPh>
    <rPh sb="6" eb="7">
      <t>グン</t>
    </rPh>
    <phoneticPr fontId="4"/>
  </si>
  <si>
    <t>熊本県上益城郡嘉島町</t>
    <rPh sb="0" eb="3">
      <t>クマモトケン</t>
    </rPh>
    <rPh sb="3" eb="4">
      <t>ウエ</t>
    </rPh>
    <phoneticPr fontId="4"/>
  </si>
  <si>
    <t>熊本県上益城郡益城町</t>
    <rPh sb="0" eb="3">
      <t>クマモトケン</t>
    </rPh>
    <rPh sb="3" eb="4">
      <t>ウエ</t>
    </rPh>
    <phoneticPr fontId="4"/>
  </si>
  <si>
    <t>熊本県上益城郡甲佐町</t>
    <rPh sb="0" eb="3">
      <t>クマモトケン</t>
    </rPh>
    <rPh sb="3" eb="4">
      <t>ウエ</t>
    </rPh>
    <phoneticPr fontId="4"/>
  </si>
  <si>
    <t>長崎県</t>
    <rPh sb="0" eb="3">
      <t>ナガサキケン</t>
    </rPh>
    <phoneticPr fontId="4"/>
  </si>
  <si>
    <t>大分県佐伯市</t>
    <rPh sb="0" eb="3">
      <t>オオイタケン</t>
    </rPh>
    <rPh sb="3" eb="6">
      <t>サエキシ</t>
    </rPh>
    <phoneticPr fontId="4"/>
  </si>
  <si>
    <t>大分県臼杵市</t>
    <rPh sb="0" eb="3">
      <t>オオイタケン</t>
    </rPh>
    <rPh sb="3" eb="6">
      <t>ウスキシ</t>
    </rPh>
    <phoneticPr fontId="4"/>
  </si>
  <si>
    <t>大分県津久見市</t>
    <rPh sb="0" eb="3">
      <t>オオイタケン</t>
    </rPh>
    <rPh sb="3" eb="7">
      <t>ツクミシ</t>
    </rPh>
    <phoneticPr fontId="4"/>
  </si>
  <si>
    <t>大分県竹田市</t>
    <rPh sb="0" eb="3">
      <t>オオイタケン</t>
    </rPh>
    <rPh sb="3" eb="5">
      <t>タケタ</t>
    </rPh>
    <rPh sb="5" eb="6">
      <t>シ</t>
    </rPh>
    <phoneticPr fontId="4"/>
  </si>
  <si>
    <t>大分県豊後大野市</t>
    <rPh sb="0" eb="3">
      <t>オオイタケン</t>
    </rPh>
    <rPh sb="3" eb="5">
      <t>ブンゴ</t>
    </rPh>
    <rPh sb="5" eb="8">
      <t>オオノシ</t>
    </rPh>
    <phoneticPr fontId="4"/>
  </si>
  <si>
    <t>国東郡姫島村</t>
    <phoneticPr fontId="4"/>
  </si>
  <si>
    <t>大分県国東郡姫島村</t>
    <rPh sb="0" eb="3">
      <t>オオイタケン</t>
    </rPh>
    <phoneticPr fontId="4"/>
  </si>
  <si>
    <t>成田市</t>
    <phoneticPr fontId="31"/>
  </si>
  <si>
    <t>香取市</t>
    <phoneticPr fontId="31"/>
  </si>
  <si>
    <t>銚子市</t>
    <phoneticPr fontId="31"/>
  </si>
  <si>
    <t>富里市</t>
    <phoneticPr fontId="31"/>
  </si>
  <si>
    <t>旭市</t>
    <phoneticPr fontId="31"/>
  </si>
  <si>
    <t>匝瑳市</t>
    <phoneticPr fontId="31"/>
  </si>
  <si>
    <t>山武市</t>
    <phoneticPr fontId="31"/>
  </si>
  <si>
    <t>東金市</t>
    <phoneticPr fontId="31"/>
  </si>
  <si>
    <t>大網白里市</t>
    <phoneticPr fontId="31"/>
  </si>
  <si>
    <t>茂原市</t>
    <phoneticPr fontId="31"/>
  </si>
  <si>
    <t>市原市</t>
    <phoneticPr fontId="31"/>
  </si>
  <si>
    <t>袖ヶ浦市</t>
    <phoneticPr fontId="31"/>
  </si>
  <si>
    <t>木更津市</t>
    <phoneticPr fontId="31"/>
  </si>
  <si>
    <t>山武郡</t>
    <phoneticPr fontId="31"/>
  </si>
  <si>
    <t>香取郡</t>
    <phoneticPr fontId="31"/>
  </si>
  <si>
    <t>長生郡</t>
    <phoneticPr fontId="31"/>
  </si>
  <si>
    <t>いすみ市</t>
    <phoneticPr fontId="31"/>
  </si>
  <si>
    <t>勝浦市</t>
    <phoneticPr fontId="31"/>
  </si>
  <si>
    <t>富津市</t>
    <phoneticPr fontId="4"/>
  </si>
  <si>
    <t>館山市</t>
    <phoneticPr fontId="4"/>
  </si>
  <si>
    <t>南房総市</t>
    <phoneticPr fontId="4"/>
  </si>
  <si>
    <t>鴨川市</t>
    <phoneticPr fontId="4"/>
  </si>
  <si>
    <t>君津市</t>
    <phoneticPr fontId="4"/>
  </si>
  <si>
    <t>安房郡</t>
    <phoneticPr fontId="4"/>
  </si>
  <si>
    <t>夷隅郡</t>
    <phoneticPr fontId="4"/>
  </si>
  <si>
    <t>奥多摩町</t>
    <phoneticPr fontId="31"/>
  </si>
  <si>
    <t>桧原村</t>
    <phoneticPr fontId="31"/>
  </si>
  <si>
    <t>秦野市</t>
    <phoneticPr fontId="31"/>
  </si>
  <si>
    <t>中郡</t>
    <rPh sb="0" eb="2">
      <t>ナカグン</t>
    </rPh>
    <phoneticPr fontId="31"/>
  </si>
  <si>
    <t>小田原市</t>
    <rPh sb="0" eb="4">
      <t>オダワラシ</t>
    </rPh>
    <phoneticPr fontId="31"/>
  </si>
  <si>
    <t>南足柄市</t>
    <phoneticPr fontId="31"/>
  </si>
  <si>
    <t>足柄上郡</t>
    <phoneticPr fontId="31"/>
  </si>
  <si>
    <t>朝倉市</t>
    <phoneticPr fontId="4"/>
  </si>
  <si>
    <t>うきは市</t>
    <phoneticPr fontId="4"/>
  </si>
  <si>
    <t>大川市</t>
    <phoneticPr fontId="4"/>
  </si>
  <si>
    <t>大牟田市</t>
    <phoneticPr fontId="4"/>
  </si>
  <si>
    <t>嘉麻市</t>
    <phoneticPr fontId="4"/>
  </si>
  <si>
    <t>田川市</t>
    <phoneticPr fontId="4"/>
  </si>
  <si>
    <t>行橋市</t>
    <phoneticPr fontId="4"/>
  </si>
  <si>
    <t>みやま市</t>
    <phoneticPr fontId="4"/>
  </si>
  <si>
    <t>八女市</t>
    <phoneticPr fontId="4"/>
  </si>
  <si>
    <t>柳川市</t>
    <phoneticPr fontId="4"/>
  </si>
  <si>
    <t>京都郡苅田町</t>
    <phoneticPr fontId="4"/>
  </si>
  <si>
    <t>田川郡川崎町</t>
    <phoneticPr fontId="4"/>
  </si>
  <si>
    <t>田川郡糸田町</t>
    <phoneticPr fontId="4"/>
  </si>
  <si>
    <t>田川郡福智町</t>
    <phoneticPr fontId="4"/>
  </si>
  <si>
    <t>田川郡香春町</t>
    <phoneticPr fontId="4"/>
  </si>
  <si>
    <t>田川郡大任町</t>
    <phoneticPr fontId="4"/>
  </si>
  <si>
    <t>田川郡添田町</t>
    <phoneticPr fontId="4"/>
  </si>
  <si>
    <t>八女郡広川町</t>
    <phoneticPr fontId="4"/>
  </si>
  <si>
    <t>三潴郡大木町</t>
    <phoneticPr fontId="4"/>
  </si>
  <si>
    <t>朝倉郡東峰村</t>
    <phoneticPr fontId="4"/>
  </si>
  <si>
    <t>筑後市</t>
    <rPh sb="0" eb="3">
      <t>チクゴシ</t>
    </rPh>
    <phoneticPr fontId="4"/>
  </si>
  <si>
    <t>豊前市</t>
    <phoneticPr fontId="4"/>
  </si>
  <si>
    <t>糸島市</t>
    <phoneticPr fontId="4"/>
  </si>
  <si>
    <t>田川郡赤村</t>
    <phoneticPr fontId="4"/>
  </si>
  <si>
    <t>築上郡</t>
    <phoneticPr fontId="4"/>
  </si>
  <si>
    <t>京都郡みやこ町</t>
    <phoneticPr fontId="4"/>
  </si>
  <si>
    <t>鳥栖市</t>
    <phoneticPr fontId="4"/>
  </si>
  <si>
    <t>神埼郡</t>
    <phoneticPr fontId="4"/>
  </si>
  <si>
    <t>三養基郡</t>
    <phoneticPr fontId="4"/>
  </si>
  <si>
    <t>佐賀市</t>
    <phoneticPr fontId="4"/>
  </si>
  <si>
    <t>唐津市</t>
    <phoneticPr fontId="4"/>
  </si>
  <si>
    <t>多久市</t>
    <phoneticPr fontId="4"/>
  </si>
  <si>
    <t>武雄市</t>
    <phoneticPr fontId="4"/>
  </si>
  <si>
    <t>小城市</t>
    <phoneticPr fontId="4"/>
  </si>
  <si>
    <t>神崎市</t>
    <phoneticPr fontId="4"/>
  </si>
  <si>
    <t>玄海市</t>
    <phoneticPr fontId="4"/>
  </si>
  <si>
    <t>杵島郡</t>
    <phoneticPr fontId="4"/>
  </si>
  <si>
    <t>長崎市</t>
    <rPh sb="0" eb="3">
      <t>ナガサキシ</t>
    </rPh>
    <phoneticPr fontId="4"/>
  </si>
  <si>
    <t>佐世保市</t>
    <rPh sb="0" eb="4">
      <t>サセボシ</t>
    </rPh>
    <phoneticPr fontId="4"/>
  </si>
  <si>
    <t>諫早市</t>
    <rPh sb="0" eb="3">
      <t>イサハヤシ</t>
    </rPh>
    <phoneticPr fontId="4"/>
  </si>
  <si>
    <t>熊本市</t>
    <phoneticPr fontId="4"/>
  </si>
  <si>
    <t>荒尾市</t>
    <phoneticPr fontId="4"/>
  </si>
  <si>
    <t>玉名市</t>
    <phoneticPr fontId="4"/>
  </si>
  <si>
    <t>山鹿市</t>
    <phoneticPr fontId="4"/>
  </si>
  <si>
    <t>菊池市</t>
    <phoneticPr fontId="4"/>
  </si>
  <si>
    <t>宇土市</t>
    <phoneticPr fontId="4"/>
  </si>
  <si>
    <t>合志市</t>
    <phoneticPr fontId="4"/>
  </si>
  <si>
    <t>玉名郡</t>
    <rPh sb="2" eb="3">
      <t>グン</t>
    </rPh>
    <phoneticPr fontId="4"/>
  </si>
  <si>
    <t>菊池郡</t>
    <rPh sb="2" eb="3">
      <t>グン</t>
    </rPh>
    <phoneticPr fontId="4"/>
  </si>
  <si>
    <t>上益城郡御船町</t>
    <rPh sb="3" eb="4">
      <t>グン</t>
    </rPh>
    <phoneticPr fontId="4"/>
  </si>
  <si>
    <t>上益城郡嘉島町</t>
    <rPh sb="0" eb="1">
      <t>ウエ</t>
    </rPh>
    <phoneticPr fontId="4"/>
  </si>
  <si>
    <t>上益城郡益城町</t>
    <rPh sb="0" eb="1">
      <t>ウエ</t>
    </rPh>
    <phoneticPr fontId="4"/>
  </si>
  <si>
    <t>上益城郡甲佐町</t>
    <rPh sb="0" eb="1">
      <t>ウエ</t>
    </rPh>
    <phoneticPr fontId="4"/>
  </si>
  <si>
    <t>佐伯市</t>
    <rPh sb="0" eb="3">
      <t>サエキシ</t>
    </rPh>
    <phoneticPr fontId="4"/>
  </si>
  <si>
    <t>臼杵市</t>
    <rPh sb="0" eb="3">
      <t>ウスキシ</t>
    </rPh>
    <phoneticPr fontId="4"/>
  </si>
  <si>
    <t>津久見市</t>
    <rPh sb="0" eb="4">
      <t>ツクミシ</t>
    </rPh>
    <phoneticPr fontId="4"/>
  </si>
  <si>
    <t>竹田市</t>
    <rPh sb="0" eb="2">
      <t>タケタ</t>
    </rPh>
    <rPh sb="2" eb="3">
      <t>シ</t>
    </rPh>
    <phoneticPr fontId="4"/>
  </si>
  <si>
    <t>豊後大野市</t>
    <rPh sb="0" eb="2">
      <t>ブンゴ</t>
    </rPh>
    <rPh sb="2" eb="5">
      <t>オオノシ</t>
    </rPh>
    <phoneticPr fontId="4"/>
  </si>
  <si>
    <t>小林市</t>
    <phoneticPr fontId="4"/>
  </si>
  <si>
    <t>えびの市</t>
    <phoneticPr fontId="4"/>
  </si>
  <si>
    <t>都城市</t>
    <phoneticPr fontId="4"/>
  </si>
  <si>
    <t>北諸県郡三股町</t>
    <rPh sb="4" eb="6">
      <t>ミツマタ</t>
    </rPh>
    <rPh sb="6" eb="7">
      <t>マチ</t>
    </rPh>
    <phoneticPr fontId="4"/>
  </si>
  <si>
    <t>西諸県郡高原町</t>
    <rPh sb="4" eb="6">
      <t>タカハラ</t>
    </rPh>
    <rPh sb="6" eb="7">
      <t>マチ</t>
    </rPh>
    <phoneticPr fontId="4"/>
  </si>
  <si>
    <t>鹿児島市</t>
    <phoneticPr fontId="4"/>
  </si>
  <si>
    <t>阿久根市</t>
    <phoneticPr fontId="4"/>
  </si>
  <si>
    <t>姶良市</t>
    <phoneticPr fontId="4"/>
  </si>
  <si>
    <t>伊佐市</t>
    <phoneticPr fontId="4"/>
  </si>
  <si>
    <t>出水市</t>
    <phoneticPr fontId="4"/>
  </si>
  <si>
    <t>いちき串木野市</t>
    <phoneticPr fontId="4"/>
  </si>
  <si>
    <t>薩摩川内市</t>
    <phoneticPr fontId="4"/>
  </si>
  <si>
    <t>日置市</t>
    <phoneticPr fontId="4"/>
  </si>
  <si>
    <t>薩摩郡さつま町</t>
    <rPh sb="6" eb="7">
      <t>マチ</t>
    </rPh>
    <phoneticPr fontId="4"/>
  </si>
  <si>
    <t>姶良郡湧水町</t>
    <phoneticPr fontId="4"/>
  </si>
  <si>
    <t>山口市</t>
    <phoneticPr fontId="4"/>
  </si>
  <si>
    <t>下関市</t>
    <phoneticPr fontId="4"/>
  </si>
  <si>
    <t>山陽小野田市</t>
    <phoneticPr fontId="4"/>
  </si>
  <si>
    <t>宇部市</t>
    <phoneticPr fontId="4"/>
  </si>
  <si>
    <t>美弥市</t>
    <phoneticPr fontId="4"/>
  </si>
  <si>
    <t>防府市</t>
    <phoneticPr fontId="4"/>
  </si>
  <si>
    <t>周南市</t>
    <phoneticPr fontId="4"/>
  </si>
  <si>
    <t>広島市</t>
    <phoneticPr fontId="4"/>
  </si>
  <si>
    <t>廿日市市</t>
    <phoneticPr fontId="4"/>
  </si>
  <si>
    <t>大竹市</t>
    <phoneticPr fontId="4"/>
  </si>
  <si>
    <t>呉市</t>
    <phoneticPr fontId="4"/>
  </si>
  <si>
    <t>東広島市</t>
    <phoneticPr fontId="4"/>
  </si>
  <si>
    <t>竹原市</t>
    <phoneticPr fontId="4"/>
  </si>
  <si>
    <t>三原市</t>
    <phoneticPr fontId="4"/>
  </si>
  <si>
    <t>尾道市</t>
    <phoneticPr fontId="4"/>
  </si>
  <si>
    <t>福山市</t>
    <phoneticPr fontId="4"/>
  </si>
  <si>
    <t>府中市</t>
    <phoneticPr fontId="4"/>
  </si>
  <si>
    <t>浜田市</t>
    <phoneticPr fontId="4"/>
  </si>
  <si>
    <t>益田市</t>
    <phoneticPr fontId="4"/>
  </si>
  <si>
    <t>鹿足郡</t>
    <phoneticPr fontId="4"/>
  </si>
  <si>
    <t>宇陀市</t>
    <phoneticPr fontId="4"/>
  </si>
  <si>
    <t>五條市</t>
    <phoneticPr fontId="4"/>
  </si>
  <si>
    <t>宇陀郡</t>
    <phoneticPr fontId="4"/>
  </si>
  <si>
    <t>吉野郡下北山村</t>
    <phoneticPr fontId="4"/>
  </si>
  <si>
    <t>吉野郡野迫川村</t>
    <phoneticPr fontId="4"/>
  </si>
  <si>
    <t>吉野郡十津川村</t>
    <phoneticPr fontId="4"/>
  </si>
  <si>
    <t>吉野郡東吉野村</t>
    <phoneticPr fontId="4"/>
  </si>
  <si>
    <t>吉野郡川上村</t>
    <phoneticPr fontId="4"/>
  </si>
  <si>
    <t>吉野郡黒滝村</t>
    <phoneticPr fontId="4"/>
  </si>
  <si>
    <t>吉野郡天川村</t>
    <phoneticPr fontId="4"/>
  </si>
  <si>
    <t>吉野郡上北山村</t>
    <phoneticPr fontId="4"/>
  </si>
  <si>
    <t>神戸市</t>
    <phoneticPr fontId="4"/>
  </si>
  <si>
    <t>尼崎市</t>
    <phoneticPr fontId="4"/>
  </si>
  <si>
    <t>西宮市</t>
    <rPh sb="0" eb="3">
      <t>ニシノミヤシ</t>
    </rPh>
    <phoneticPr fontId="4"/>
  </si>
  <si>
    <t>洲本市</t>
    <rPh sb="0" eb="3">
      <t>スモトシ</t>
    </rPh>
    <phoneticPr fontId="4"/>
  </si>
  <si>
    <t>芦屋市</t>
    <rPh sb="0" eb="3">
      <t>アシヤシ</t>
    </rPh>
    <phoneticPr fontId="4"/>
  </si>
  <si>
    <t>伊丹市</t>
    <rPh sb="0" eb="3">
      <t>イタミシ</t>
    </rPh>
    <phoneticPr fontId="4"/>
  </si>
  <si>
    <t>宝塚市</t>
    <rPh sb="0" eb="3">
      <t>タカラヅカシ</t>
    </rPh>
    <phoneticPr fontId="4"/>
  </si>
  <si>
    <t>三木市</t>
    <rPh sb="0" eb="3">
      <t>ミキシ</t>
    </rPh>
    <phoneticPr fontId="4"/>
  </si>
  <si>
    <t>川西市</t>
    <rPh sb="0" eb="3">
      <t>カワニシシ</t>
    </rPh>
    <phoneticPr fontId="4"/>
  </si>
  <si>
    <t>三田市</t>
    <rPh sb="0" eb="3">
      <t>サンダシ</t>
    </rPh>
    <phoneticPr fontId="4"/>
  </si>
  <si>
    <t>加西市</t>
    <phoneticPr fontId="4"/>
  </si>
  <si>
    <t>篠山市</t>
    <phoneticPr fontId="4"/>
  </si>
  <si>
    <t>河辺郡猪名川町</t>
    <rPh sb="0" eb="3">
      <t>カワベグン</t>
    </rPh>
    <phoneticPr fontId="4"/>
  </si>
  <si>
    <t>京都市</t>
    <phoneticPr fontId="32"/>
  </si>
  <si>
    <t>南丹市</t>
    <phoneticPr fontId="32"/>
  </si>
  <si>
    <t>綾部市</t>
    <phoneticPr fontId="32"/>
  </si>
  <si>
    <t>舞鶴市</t>
    <phoneticPr fontId="32"/>
  </si>
  <si>
    <t>福知山市</t>
    <phoneticPr fontId="32"/>
  </si>
  <si>
    <t>宮津市</t>
    <phoneticPr fontId="32"/>
  </si>
  <si>
    <t>京丹後市</t>
    <phoneticPr fontId="32"/>
  </si>
  <si>
    <t>与謝郡伊根町</t>
    <phoneticPr fontId="32"/>
  </si>
  <si>
    <t>与謝郡与謝野町</t>
    <phoneticPr fontId="32"/>
  </si>
  <si>
    <t>船井郡京丹波町</t>
    <phoneticPr fontId="32"/>
  </si>
  <si>
    <t>飯能市</t>
    <phoneticPr fontId="4"/>
  </si>
  <si>
    <t>秩父市</t>
    <phoneticPr fontId="4"/>
  </si>
  <si>
    <t>加須市</t>
    <phoneticPr fontId="4"/>
  </si>
  <si>
    <t>東村山市</t>
    <phoneticPr fontId="4"/>
  </si>
  <si>
    <t>羽生市</t>
    <phoneticPr fontId="4"/>
  </si>
  <si>
    <t>行田市</t>
    <phoneticPr fontId="4"/>
  </si>
  <si>
    <t>熊谷市</t>
    <phoneticPr fontId="4"/>
  </si>
  <si>
    <t>本庄市</t>
    <phoneticPr fontId="4"/>
  </si>
  <si>
    <t>深谷市</t>
    <phoneticPr fontId="4"/>
  </si>
  <si>
    <t>秩父郡</t>
    <phoneticPr fontId="4"/>
  </si>
  <si>
    <t>児玉郡</t>
    <phoneticPr fontId="4"/>
  </si>
  <si>
    <t>入間郡越生町</t>
    <phoneticPr fontId="4"/>
  </si>
  <si>
    <t>比企郡滑川町</t>
    <phoneticPr fontId="4"/>
  </si>
  <si>
    <t>比企郡嵐山町</t>
    <phoneticPr fontId="4"/>
  </si>
  <si>
    <t>比企郡小川町</t>
    <phoneticPr fontId="4"/>
  </si>
  <si>
    <t>比企郡ときがわ町</t>
    <phoneticPr fontId="4"/>
  </si>
  <si>
    <t>大里郡寄居町</t>
    <rPh sb="0" eb="3">
      <t>オオサトグン</t>
    </rPh>
    <rPh sb="3" eb="6">
      <t>ヨリイマチ</t>
    </rPh>
    <phoneticPr fontId="4"/>
  </si>
  <si>
    <t>料金検索住所合体</t>
    <rPh sb="0" eb="2">
      <t>リョウキン</t>
    </rPh>
    <rPh sb="2" eb="4">
      <t>ケンサク</t>
    </rPh>
    <rPh sb="4" eb="6">
      <t>ジュウショ</t>
    </rPh>
    <rPh sb="6" eb="8">
      <t>ガッタイ</t>
    </rPh>
    <phoneticPr fontId="4"/>
  </si>
  <si>
    <t>設計住宅性能評価</t>
    <rPh sb="0" eb="2">
      <t>セッケイ</t>
    </rPh>
    <rPh sb="2" eb="4">
      <t>ジュウタク</t>
    </rPh>
    <rPh sb="4" eb="6">
      <t>セイノウ</t>
    </rPh>
    <rPh sb="6" eb="8">
      <t>ヒョウカ</t>
    </rPh>
    <phoneticPr fontId="4"/>
  </si>
  <si>
    <t>建設住宅性能評価</t>
    <phoneticPr fontId="4"/>
  </si>
  <si>
    <t>長期使用構造等確認</t>
  </si>
  <si>
    <t>設計住宅性能評価と長期使用構造等確認の併願　一戸建ての住宅</t>
    <phoneticPr fontId="4"/>
  </si>
  <si>
    <t>一戸建ての住宅　(新築)</t>
  </si>
  <si>
    <t>共同住宅等(新築)　30戸未満(一律)</t>
  </si>
  <si>
    <t>共同住宅等(新築)　30戸以上</t>
  </si>
  <si>
    <t>一戸建ての住宅　(増築・改築)</t>
  </si>
  <si>
    <t>確認申請と併願で総戸数が20戸未満のもの(評価対象外住戸も含む)　2～5戸　基本料金</t>
    <rPh sb="38" eb="40">
      <t>キホン</t>
    </rPh>
    <rPh sb="40" eb="42">
      <t>リョウキン</t>
    </rPh>
    <phoneticPr fontId="4"/>
  </si>
  <si>
    <t>確認申請と併願で総戸数が20戸未満のもの(評価対象外住戸も含む)　2～5戸　評価対象住戸数</t>
    <rPh sb="38" eb="40">
      <t>ヒョウカ</t>
    </rPh>
    <rPh sb="40" eb="42">
      <t>タイショウ</t>
    </rPh>
    <rPh sb="42" eb="44">
      <t>ジュウコ</t>
    </rPh>
    <rPh sb="44" eb="45">
      <t>スウ</t>
    </rPh>
    <phoneticPr fontId="4"/>
  </si>
  <si>
    <t>確認申請と併願で総戸数が20戸未満のもの(評価対象外住戸も含む)　6戸～19戸　基本料金</t>
    <rPh sb="40" eb="42">
      <t>キホン</t>
    </rPh>
    <rPh sb="42" eb="44">
      <t>リョウキン</t>
    </rPh>
    <phoneticPr fontId="4"/>
  </si>
  <si>
    <t>確認申請と併願で総戸数が20戸未満のもの(評価対象外住戸も含む)　6戸～19戸　評価対象住戸数</t>
    <rPh sb="40" eb="42">
      <t>ヒョウカ</t>
    </rPh>
    <rPh sb="42" eb="44">
      <t>タイショウ</t>
    </rPh>
    <rPh sb="44" eb="47">
      <t>ジュウコスウ</t>
    </rPh>
    <phoneticPr fontId="4"/>
  </si>
  <si>
    <t>【建築物】　住宅性能評価業務【課税対象】</t>
    <rPh sb="1" eb="4">
      <t>ケンチクブツ</t>
    </rPh>
    <rPh sb="6" eb="8">
      <t>ジュウタク</t>
    </rPh>
    <rPh sb="8" eb="10">
      <t>セイノウ</t>
    </rPh>
    <rPh sb="10" eb="12">
      <t>ヒョウカ</t>
    </rPh>
    <rPh sb="12" eb="14">
      <t>ギョウム</t>
    </rPh>
    <rPh sb="15" eb="17">
      <t>カゼイ</t>
    </rPh>
    <rPh sb="17" eb="19">
      <t>タイショウ</t>
    </rPh>
    <phoneticPr fontId="4"/>
  </si>
  <si>
    <t>確認申請と併願で総戸数が20戸未満(評価対象外住戸も含む)　2～5戸　基本料金</t>
    <rPh sb="35" eb="37">
      <t>キホン</t>
    </rPh>
    <rPh sb="37" eb="39">
      <t>リョウキン</t>
    </rPh>
    <phoneticPr fontId="4"/>
  </si>
  <si>
    <t>確認申請と併願で総戸数が20戸未満(評価対象外住戸も含む)　6戸～19戸　基本料金</t>
    <rPh sb="37" eb="39">
      <t>キホン</t>
    </rPh>
    <rPh sb="39" eb="41">
      <t>リョウキン</t>
    </rPh>
    <phoneticPr fontId="4"/>
  </si>
  <si>
    <t>共同住宅等(新築)　30戸未満(一律)</t>
    <phoneticPr fontId="4"/>
  </si>
  <si>
    <t>設計住宅性能評価と長期使用構造等確認の併願　30戸以上</t>
    <rPh sb="25" eb="27">
      <t>イジョウ</t>
    </rPh>
    <phoneticPr fontId="4"/>
  </si>
  <si>
    <t>共同住宅等(新築)　30戸以上</t>
    <phoneticPr fontId="4"/>
  </si>
  <si>
    <t>確認申請と併願で総戸数が20戸未満(評価対象外住戸も含む)　2戸～5戸</t>
    <phoneticPr fontId="4"/>
  </si>
  <si>
    <t>確認申請と併願で総戸数が20戸未満(評価対象外住戸も含む)　6戸～19戸</t>
    <phoneticPr fontId="4"/>
  </si>
  <si>
    <t>建設住宅性能評価</t>
    <rPh sb="0" eb="2">
      <t>ケンセツ</t>
    </rPh>
    <rPh sb="2" eb="4">
      <t>ジュウタク</t>
    </rPh>
    <rPh sb="4" eb="6">
      <t>セイノウ</t>
    </rPh>
    <rPh sb="6" eb="8">
      <t>ヒョウカ</t>
    </rPh>
    <phoneticPr fontId="4"/>
  </si>
  <si>
    <t>5-1断熱等性能に係る評価(等級1を除く)</t>
    <rPh sb="3" eb="6">
      <t>ダンネツトウ</t>
    </rPh>
    <rPh sb="6" eb="8">
      <t>セイノウ</t>
    </rPh>
    <rPh sb="9" eb="10">
      <t>カカ</t>
    </rPh>
    <rPh sb="11" eb="13">
      <t>ヒョウカ</t>
    </rPh>
    <rPh sb="14" eb="16">
      <t>トウキュウ</t>
    </rPh>
    <rPh sb="18" eb="19">
      <t>ノゾ</t>
    </rPh>
    <phoneticPr fontId="4"/>
  </si>
  <si>
    <t>5-2一次エネルギー消費量に係る評価(等級1を除く)</t>
    <rPh sb="3" eb="5">
      <t>イチジ</t>
    </rPh>
    <rPh sb="10" eb="13">
      <t>ショウヒリョウ</t>
    </rPh>
    <rPh sb="14" eb="15">
      <t>カカ</t>
    </rPh>
    <rPh sb="16" eb="18">
      <t>ヒョウカ</t>
    </rPh>
    <rPh sb="19" eb="21">
      <t>トウキュウ</t>
    </rPh>
    <rPh sb="23" eb="24">
      <t>ノゾ</t>
    </rPh>
    <phoneticPr fontId="4"/>
  </si>
  <si>
    <t>加算手数料</t>
    <rPh sb="0" eb="2">
      <t>カサン</t>
    </rPh>
    <rPh sb="2" eb="5">
      <t>テスウリョウ</t>
    </rPh>
    <phoneticPr fontId="4"/>
  </si>
  <si>
    <t>8-1・8-2音環境に係る評価(8-3・8-4除く)</t>
    <rPh sb="23" eb="24">
      <t>ノゾ</t>
    </rPh>
    <phoneticPr fontId="3"/>
  </si>
  <si>
    <t>【省エネ適判と同時申請のため、5-1及び5-2加算手数料免除】</t>
    <phoneticPr fontId="4"/>
  </si>
  <si>
    <t>※　5-1断熱等性能等級は4,000円/戸、5-2一次エネルギー消費量等級は2,000円/戸の追加審査料を申し受けさせていただきます</t>
    <rPh sb="4" eb="6">
      <t>ダンネツ</t>
    </rPh>
    <rPh sb="6" eb="7">
      <t>トウ</t>
    </rPh>
    <rPh sb="7" eb="11">
      <t>セイノウトウキュウ</t>
    </rPh>
    <rPh sb="17" eb="18">
      <t>エン</t>
    </rPh>
    <rPh sb="19" eb="20">
      <t>コ</t>
    </rPh>
    <rPh sb="24" eb="26">
      <t>イチジ</t>
    </rPh>
    <rPh sb="31" eb="34">
      <t>ショウヒリョウ</t>
    </rPh>
    <rPh sb="34" eb="36">
      <t>トウキュウ</t>
    </rPh>
    <rPh sb="42" eb="43">
      <t>エン</t>
    </rPh>
    <rPh sb="44" eb="45">
      <t>コ</t>
    </rPh>
    <rPh sb="46" eb="48">
      <t>ツイカ</t>
    </rPh>
    <rPh sb="48" eb="50">
      <t>シンサ</t>
    </rPh>
    <rPh sb="50" eb="51">
      <t>リョウ</t>
    </rPh>
    <rPh sb="52" eb="53">
      <t>モウ</t>
    </rPh>
    <rPh sb="54" eb="55">
      <t>ウ</t>
    </rPh>
    <phoneticPr fontId="4"/>
  </si>
  <si>
    <t>※　5-1/5-2以外の追加審査料が必要な項目の審査を行う場合は、別途所定の追加審査料を申し受けさせていただきます</t>
    <rPh sb="8" eb="10">
      <t>イガイ</t>
    </rPh>
    <rPh sb="11" eb="13">
      <t>ツイカ</t>
    </rPh>
    <rPh sb="13" eb="15">
      <t>シンサ</t>
    </rPh>
    <rPh sb="15" eb="16">
      <t>リョウ</t>
    </rPh>
    <rPh sb="17" eb="19">
      <t>ヒツヨウ</t>
    </rPh>
    <rPh sb="20" eb="22">
      <t>コウモク</t>
    </rPh>
    <rPh sb="23" eb="25">
      <t>シンサ</t>
    </rPh>
    <rPh sb="27" eb="28">
      <t>オコナ</t>
    </rPh>
    <rPh sb="29" eb="31">
      <t>バアイ</t>
    </rPh>
    <rPh sb="32" eb="34">
      <t>ベット</t>
    </rPh>
    <rPh sb="34" eb="36">
      <t>ショテイ</t>
    </rPh>
    <rPh sb="37" eb="39">
      <t>ツイカ</t>
    </rPh>
    <rPh sb="39" eb="41">
      <t>シンサ</t>
    </rPh>
    <rPh sb="41" eb="42">
      <t>リョウ</t>
    </rPh>
    <rPh sb="42" eb="43">
      <t>リョウ</t>
    </rPh>
    <rPh sb="43" eb="44">
      <t>モウ</t>
    </rPh>
    <rPh sb="45" eb="46">
      <t>ウ</t>
    </rPh>
    <phoneticPr fontId="4"/>
  </si>
  <si>
    <t>※　弊社以外で「設計」住宅性能評価を受けている場合は、「建設」住宅性能評価の料金に1.5を乗じた金額になります。</t>
    <rPh sb="45" eb="46">
      <t>ジョウ</t>
    </rPh>
    <rPh sb="48" eb="50">
      <t>キンガク</t>
    </rPh>
    <phoneticPr fontId="3"/>
  </si>
  <si>
    <t>※　検査回数は原則4回です。追加検査：戸建て＠22,000円/回、共同住宅等＠55,000円/回、確認併願＠38,500円/回となります。</t>
    <rPh sb="14" eb="16">
      <t>ツイカ</t>
    </rPh>
    <rPh sb="16" eb="18">
      <t>ケンサ</t>
    </rPh>
    <rPh sb="19" eb="21">
      <t>コダ</t>
    </rPh>
    <rPh sb="33" eb="35">
      <t>キョウドウ</t>
    </rPh>
    <rPh sb="35" eb="37">
      <t>ジュウタク</t>
    </rPh>
    <rPh sb="37" eb="38">
      <t>ナド</t>
    </rPh>
    <rPh sb="45" eb="46">
      <t>エン</t>
    </rPh>
    <rPh sb="47" eb="48">
      <t>カイ</t>
    </rPh>
    <rPh sb="49" eb="51">
      <t>カクニン</t>
    </rPh>
    <rPh sb="51" eb="53">
      <t>ヘイガン</t>
    </rPh>
    <rPh sb="60" eb="61">
      <t>エン</t>
    </rPh>
    <rPh sb="62" eb="63">
      <t>カイ</t>
    </rPh>
    <phoneticPr fontId="4"/>
  </si>
  <si>
    <t>【建築物】　長期使用構造等確認【課税対象】</t>
    <rPh sb="1" eb="4">
      <t>ケンチクブツ</t>
    </rPh>
    <rPh sb="6" eb="8">
      <t>チョウキ</t>
    </rPh>
    <rPh sb="8" eb="10">
      <t>シヨウ</t>
    </rPh>
    <rPh sb="10" eb="12">
      <t>コウゾウ</t>
    </rPh>
    <rPh sb="12" eb="13">
      <t>ナド</t>
    </rPh>
    <rPh sb="13" eb="15">
      <t>カクニン</t>
    </rPh>
    <rPh sb="16" eb="18">
      <t>カゼイ</t>
    </rPh>
    <rPh sb="18" eb="20">
      <t>タイショウ</t>
    </rPh>
    <phoneticPr fontId="4"/>
  </si>
  <si>
    <t>【建築物】　BELS評価業務【課税対象】</t>
    <rPh sb="1" eb="4">
      <t>ケンチクブツ</t>
    </rPh>
    <rPh sb="10" eb="12">
      <t>ヒョウカ</t>
    </rPh>
    <rPh sb="15" eb="17">
      <t>カゼイ</t>
    </rPh>
    <rPh sb="17" eb="19">
      <t>タイショウ</t>
    </rPh>
    <phoneticPr fontId="4"/>
  </si>
  <si>
    <t>①ホテル、病院、集会所、学校等</t>
  </si>
  <si>
    <t>②事務所、百貨店、飲食店等</t>
  </si>
  <si>
    <t>③工場等</t>
  </si>
  <si>
    <t>別途見積</t>
  </si>
  <si>
    <t>共用部審査料</t>
    <phoneticPr fontId="4"/>
  </si>
  <si>
    <t>BELS</t>
    <phoneticPr fontId="4"/>
  </si>
  <si>
    <t>住宅</t>
    <rPh sb="0" eb="2">
      <t>ジュウタク</t>
    </rPh>
    <phoneticPr fontId="4"/>
  </si>
  <si>
    <t>共同住宅等　30戸未満の物件　基本料金</t>
    <rPh sb="0" eb="1">
      <t>キョウドウジュウタクナガヤココミマン</t>
    </rPh>
    <rPh sb="4" eb="5">
      <t>ナド</t>
    </rPh>
    <rPh sb="9" eb="11">
      <t>ミマン</t>
    </rPh>
    <rPh sb="12" eb="14">
      <t>ブッケン</t>
    </rPh>
    <rPh sb="15" eb="17">
      <t>キホン</t>
    </rPh>
    <rPh sb="17" eb="19">
      <t>リョウキン</t>
    </rPh>
    <phoneticPr fontId="4"/>
  </si>
  <si>
    <t>共同住宅等　30戸以上の物件　基本料金</t>
    <rPh sb="0" eb="1">
      <t>キョウドウジュウタクナガヤココミマン</t>
    </rPh>
    <rPh sb="4" eb="5">
      <t>ナド</t>
    </rPh>
    <rPh sb="9" eb="11">
      <t>イジョウ</t>
    </rPh>
    <rPh sb="12" eb="14">
      <t>ブッケン</t>
    </rPh>
    <rPh sb="15" eb="17">
      <t>キホン</t>
    </rPh>
    <rPh sb="17" eb="19">
      <t>リョウキン</t>
    </rPh>
    <phoneticPr fontId="4"/>
  </si>
  <si>
    <t>共同住宅等　30戸未満の物件　住戸加算</t>
    <rPh sb="0" eb="1">
      <t>キョウドウジュウタクナガヤココミマン</t>
    </rPh>
    <rPh sb="4" eb="5">
      <t>ナド</t>
    </rPh>
    <rPh sb="12" eb="14">
      <t>ブッケン</t>
    </rPh>
    <rPh sb="15" eb="17">
      <t>ジュウコ</t>
    </rPh>
    <rPh sb="17" eb="19">
      <t>カサン</t>
    </rPh>
    <phoneticPr fontId="4"/>
  </si>
  <si>
    <t>共同住宅等　30戸以上の物件　住戸加算</t>
    <rPh sb="0" eb="1">
      <t>キョウドウジュウタクナガヤココミマン</t>
    </rPh>
    <rPh sb="4" eb="5">
      <t>ナド</t>
    </rPh>
    <rPh sb="9" eb="11">
      <t>イジョウ</t>
    </rPh>
    <rPh sb="12" eb="14">
      <t>ブッケン</t>
    </rPh>
    <rPh sb="15" eb="17">
      <t>ジュウコ</t>
    </rPh>
    <rPh sb="17" eb="19">
      <t>カサン</t>
    </rPh>
    <phoneticPr fontId="4"/>
  </si>
  <si>
    <t>一戸建ての住宅　200㎡以内【単独審査】　</t>
    <rPh sb="0" eb="2">
      <t>イッコダ</t>
    </rPh>
    <rPh sb="4" eb="6">
      <t>ジュウタク</t>
    </rPh>
    <rPh sb="11" eb="13">
      <t>イナイ</t>
    </rPh>
    <phoneticPr fontId="4"/>
  </si>
  <si>
    <t>一戸建ての住宅　200㎡以上【単独審査】　</t>
    <rPh sb="5" eb="8">
      <t>イッコダ</t>
    </rPh>
    <rPh sb="10" eb="12">
      <t>ジュウタクイジョウ</t>
    </rPh>
    <phoneticPr fontId="4"/>
  </si>
  <si>
    <t>※変更申請料金は当初の申請で適用された料金の住宅系は50％、非住宅は60％の額とします。　</t>
    <rPh sb="1" eb="3">
      <t>ヘンコウ</t>
    </rPh>
    <rPh sb="22" eb="24">
      <t>ジュウタク</t>
    </rPh>
    <rPh sb="24" eb="25">
      <t>ケイ</t>
    </rPh>
    <rPh sb="30" eb="33">
      <t>ヒジュウタク</t>
    </rPh>
    <phoneticPr fontId="4"/>
  </si>
  <si>
    <t>※省エネ適判の申請と同時期に同支店にBELSを申請し、計算書が同じで審査を省略できる場合には55,000円（税込）とします。</t>
    <rPh sb="1" eb="2">
      <t>ショウ</t>
    </rPh>
    <rPh sb="4" eb="6">
      <t>テキハン</t>
    </rPh>
    <rPh sb="7" eb="9">
      <t>シンセイ</t>
    </rPh>
    <rPh sb="10" eb="13">
      <t>ドウジキ</t>
    </rPh>
    <rPh sb="14" eb="15">
      <t>オナ</t>
    </rPh>
    <rPh sb="15" eb="17">
      <t>シテン</t>
    </rPh>
    <rPh sb="23" eb="25">
      <t>シンセイ</t>
    </rPh>
    <rPh sb="27" eb="30">
      <t>ケイサンショ</t>
    </rPh>
    <rPh sb="31" eb="32">
      <t>オナ</t>
    </rPh>
    <rPh sb="34" eb="36">
      <t>シンサ</t>
    </rPh>
    <rPh sb="37" eb="39">
      <t>ショウリャク</t>
    </rPh>
    <rPh sb="42" eb="44">
      <t>バアイ</t>
    </rPh>
    <phoneticPr fontId="32"/>
  </si>
  <si>
    <t>(適用するモデル建物一覧）</t>
    <rPh sb="1" eb="3">
      <t>テキヨウ</t>
    </rPh>
    <rPh sb="8" eb="10">
      <t>タテモノ</t>
    </rPh>
    <rPh sb="10" eb="12">
      <t>イチラン</t>
    </rPh>
    <phoneticPr fontId="32"/>
  </si>
  <si>
    <t>①ホテル、病院、集会所、学校等</t>
    <phoneticPr fontId="32"/>
  </si>
  <si>
    <t>ビジネスホテルモデル、シティホテルモデル、総合病院モデル、クリニックモデル、福祉施設モデル、学校モデル、幼稚園モデル、大学モデル、講堂モデル、集会所モデル</t>
    <rPh sb="21" eb="23">
      <t>ソウゴウ</t>
    </rPh>
    <rPh sb="23" eb="25">
      <t>ビョウイン</t>
    </rPh>
    <rPh sb="38" eb="40">
      <t>フクシ</t>
    </rPh>
    <rPh sb="40" eb="42">
      <t>シセツ</t>
    </rPh>
    <rPh sb="46" eb="48">
      <t>ガッコウ</t>
    </rPh>
    <rPh sb="52" eb="55">
      <t>ヨウチエン</t>
    </rPh>
    <rPh sb="59" eb="61">
      <t>ダイガク</t>
    </rPh>
    <rPh sb="65" eb="67">
      <t>コウドウ</t>
    </rPh>
    <rPh sb="71" eb="73">
      <t>シュウカイ</t>
    </rPh>
    <rPh sb="73" eb="74">
      <t>ジョ</t>
    </rPh>
    <phoneticPr fontId="32"/>
  </si>
  <si>
    <t>②事務所、百貨店、飲食店等</t>
    <phoneticPr fontId="32"/>
  </si>
  <si>
    <t>事務所モデル、大規模物販モデル、小規模物販モデル、飲食店モデル</t>
    <rPh sb="0" eb="2">
      <t>ジム</t>
    </rPh>
    <rPh sb="2" eb="3">
      <t>ショ</t>
    </rPh>
    <rPh sb="7" eb="10">
      <t>ダイキボ</t>
    </rPh>
    <rPh sb="10" eb="12">
      <t>ブッパン</t>
    </rPh>
    <rPh sb="16" eb="19">
      <t>ショウキボ</t>
    </rPh>
    <rPh sb="19" eb="21">
      <t>ブッパン</t>
    </rPh>
    <rPh sb="25" eb="27">
      <t>インショク</t>
    </rPh>
    <rPh sb="27" eb="28">
      <t>テン</t>
    </rPh>
    <phoneticPr fontId="32"/>
  </si>
  <si>
    <t>③工場等</t>
    <rPh sb="1" eb="3">
      <t>コウジョウ</t>
    </rPh>
    <rPh sb="3" eb="4">
      <t>ナド</t>
    </rPh>
    <phoneticPr fontId="32"/>
  </si>
  <si>
    <t>・ 計画変更料金及び軽微変更該当証明料金は従前申請を当機関で判定し、評価方法が同じ場合は変更後の床面積・用途に</t>
    <rPh sb="23" eb="25">
      <t>シンセイ</t>
    </rPh>
    <phoneticPr fontId="32"/>
  </si>
  <si>
    <t>　応じた金額の60％とします。</t>
    <phoneticPr fontId="32"/>
  </si>
  <si>
    <t>　軽微変更該当証明を2回以上行う場合は、2回目以降は変更後の床面積・用途に応じた金額の40％とします。</t>
    <rPh sb="1" eb="3">
      <t>ケイビ</t>
    </rPh>
    <rPh sb="3" eb="5">
      <t>ヘンコウ</t>
    </rPh>
    <rPh sb="5" eb="7">
      <t>ガイトウ</t>
    </rPh>
    <rPh sb="7" eb="9">
      <t>ショウメイ</t>
    </rPh>
    <rPh sb="11" eb="12">
      <t>カイ</t>
    </rPh>
    <rPh sb="12" eb="14">
      <t>イジョウ</t>
    </rPh>
    <rPh sb="14" eb="15">
      <t>オコナ</t>
    </rPh>
    <rPh sb="16" eb="18">
      <t>バアイ</t>
    </rPh>
    <rPh sb="21" eb="23">
      <t>カイメ</t>
    </rPh>
    <rPh sb="23" eb="25">
      <t>イコウキンガク</t>
    </rPh>
    <phoneticPr fontId="32"/>
  </si>
  <si>
    <t>・ 対象となる室がなく計算書がない場合は税抜￥30,000（税込￥33,000）とします。</t>
    <rPh sb="2" eb="4">
      <t>タイショウ</t>
    </rPh>
    <rPh sb="7" eb="8">
      <t>シツ</t>
    </rPh>
    <rPh sb="11" eb="14">
      <t>ケイサンショ</t>
    </rPh>
    <rPh sb="17" eb="19">
      <t>バアイ</t>
    </rPh>
    <rPh sb="20" eb="22">
      <t>ゼイヌ</t>
    </rPh>
    <rPh sb="30" eb="32">
      <t>ゼイコミ</t>
    </rPh>
    <phoneticPr fontId="32"/>
  </si>
  <si>
    <t>　ただし、変更があり計算が必要になる場合は【判定料金】に応じた金額を適用します。</t>
    <rPh sb="5" eb="7">
      <t>ヘンコウ</t>
    </rPh>
    <rPh sb="10" eb="12">
      <t>ケイサン</t>
    </rPh>
    <rPh sb="13" eb="15">
      <t>ヒツヨウ</t>
    </rPh>
    <rPh sb="18" eb="20">
      <t>バアイ</t>
    </rPh>
    <rPh sb="22" eb="24">
      <t>ハンテイ</t>
    </rPh>
    <rPh sb="24" eb="26">
      <t>リョウキン</t>
    </rPh>
    <rPh sb="28" eb="29">
      <t>オウ</t>
    </rPh>
    <rPh sb="31" eb="33">
      <t>キンガク</t>
    </rPh>
    <rPh sb="34" eb="36">
      <t>テキヨウ</t>
    </rPh>
    <phoneticPr fontId="32"/>
  </si>
  <si>
    <t>一戸建ての住宅　200㎡以下</t>
    <rPh sb="0" eb="2">
      <t>イッコダ</t>
    </rPh>
    <rPh sb="4" eb="6">
      <t>ジュウタク</t>
    </rPh>
    <rPh sb="11" eb="13">
      <t>イカ</t>
    </rPh>
    <phoneticPr fontId="4"/>
  </si>
  <si>
    <t>一戸建ての住宅　200㎡超</t>
    <rPh sb="0" eb="2">
      <t>イッコダ</t>
    </rPh>
    <rPh sb="4" eb="6">
      <t>ジュウタク</t>
    </rPh>
    <rPh sb="12" eb="13">
      <t>チョウ</t>
    </rPh>
    <phoneticPr fontId="4"/>
  </si>
  <si>
    <t>共同住宅等の審査　500㎡以下</t>
    <rPh sb="0" eb="1">
      <t>キョウドウ</t>
    </rPh>
    <rPh sb="1" eb="3">
      <t>ジュウタク</t>
    </rPh>
    <rPh sb="3" eb="4">
      <t>ナド</t>
    </rPh>
    <rPh sb="5" eb="7">
      <t>シンサ</t>
    </rPh>
    <rPh sb="12" eb="14">
      <t>イカ</t>
    </rPh>
    <phoneticPr fontId="4"/>
  </si>
  <si>
    <t>共同住宅等の審査　500㎡超～2,000㎡以下</t>
    <rPh sb="0" eb="1">
      <t>キョウドウ</t>
    </rPh>
    <rPh sb="1" eb="3">
      <t>ジュウタク</t>
    </rPh>
    <rPh sb="3" eb="4">
      <t>ナド</t>
    </rPh>
    <rPh sb="5" eb="7">
      <t>シンサ</t>
    </rPh>
    <rPh sb="13" eb="14">
      <t>チョウ</t>
    </rPh>
    <rPh sb="21" eb="23">
      <t>イカ</t>
    </rPh>
    <phoneticPr fontId="4"/>
  </si>
  <si>
    <t>共同住宅等の審査　2,000㎡以上</t>
    <rPh sb="0" eb="1">
      <t>キョウドウ</t>
    </rPh>
    <rPh sb="1" eb="3">
      <t>ジュウタク</t>
    </rPh>
    <rPh sb="3" eb="4">
      <t>ナド</t>
    </rPh>
    <rPh sb="5" eb="7">
      <t>シンサ</t>
    </rPh>
    <rPh sb="15" eb="17">
      <t>イジョウ</t>
    </rPh>
    <phoneticPr fontId="4"/>
  </si>
  <si>
    <t>単独申請</t>
    <rPh sb="0" eb="2">
      <t>タンドク</t>
    </rPh>
    <rPh sb="2" eb="4">
      <t>シンセイ</t>
    </rPh>
    <phoneticPr fontId="4"/>
  </si>
  <si>
    <t>設計住宅性能評価併願</t>
  </si>
  <si>
    <t>【建築物】　低炭素建築物新築等に係る技術審査業務【課税対象】</t>
    <rPh sb="1" eb="4">
      <t>ケンチクブツ</t>
    </rPh>
    <rPh sb="22" eb="24">
      <t>ギョウム</t>
    </rPh>
    <rPh sb="25" eb="27">
      <t>カゼイ</t>
    </rPh>
    <rPh sb="27" eb="29">
      <t>タイショウ</t>
    </rPh>
    <phoneticPr fontId="4"/>
  </si>
  <si>
    <t>共同住宅等の審査　500㎡以下　【住戸加算】</t>
    <rPh sb="0" eb="1">
      <t>キョウドウ</t>
    </rPh>
    <rPh sb="1" eb="3">
      <t>ジュウタク</t>
    </rPh>
    <rPh sb="3" eb="4">
      <t>ナド</t>
    </rPh>
    <rPh sb="5" eb="7">
      <t>シンサ</t>
    </rPh>
    <rPh sb="12" eb="14">
      <t>イカ</t>
    </rPh>
    <rPh sb="17" eb="19">
      <t>ジュウコ</t>
    </rPh>
    <rPh sb="19" eb="21">
      <t>カサン</t>
    </rPh>
    <phoneticPr fontId="4"/>
  </si>
  <si>
    <t>共同住宅等の審査　500㎡超～2,000㎡以下　【住戸加算】</t>
    <rPh sb="0" eb="1">
      <t>キョウドウ</t>
    </rPh>
    <rPh sb="1" eb="3">
      <t>ジュウタク</t>
    </rPh>
    <rPh sb="3" eb="4">
      <t>ナド</t>
    </rPh>
    <rPh sb="5" eb="7">
      <t>シンサ</t>
    </rPh>
    <rPh sb="13" eb="14">
      <t>チョウ</t>
    </rPh>
    <rPh sb="21" eb="23">
      <t>イカ</t>
    </rPh>
    <phoneticPr fontId="4"/>
  </si>
  <si>
    <t>共同住宅等の審査　2,000㎡以上　【住戸加算】</t>
    <rPh sb="0" eb="1">
      <t>キョウドウ</t>
    </rPh>
    <rPh sb="1" eb="3">
      <t>ジュウタク</t>
    </rPh>
    <rPh sb="3" eb="4">
      <t>ナド</t>
    </rPh>
    <rPh sb="5" eb="7">
      <t>シンサ</t>
    </rPh>
    <rPh sb="15" eb="17">
      <t>イジョウ</t>
    </rPh>
    <phoneticPr fontId="4"/>
  </si>
  <si>
    <t>適合証明</t>
    <rPh sb="0" eb="1">
      <t>テキゴウ</t>
    </rPh>
    <rPh sb="1" eb="3">
      <t>ショウメイ</t>
    </rPh>
    <phoneticPr fontId="4"/>
  </si>
  <si>
    <t>一戸建て等　一般（フラット35）【単独申請】</t>
    <rPh sb="0" eb="3">
      <t>イッコダ</t>
    </rPh>
    <rPh sb="4" eb="5">
      <t>ナド</t>
    </rPh>
    <rPh sb="17" eb="19">
      <t>タンドク</t>
    </rPh>
    <rPh sb="19" eb="21">
      <t>シンセイ</t>
    </rPh>
    <phoneticPr fontId="4"/>
  </si>
  <si>
    <t>建築物全体の延べ面積</t>
  </si>
  <si>
    <t>「重ね建て」又は「連続建て」の場合、住戸数が3以上の場合は「5,500円/（住戸数-2）が加算されます。</t>
  </si>
  <si>
    <t>適合証明業務【課税対象】</t>
    <phoneticPr fontId="4"/>
  </si>
  <si>
    <t>一戸建て等　一般（フラット35）【確認併願】</t>
    <rPh sb="17" eb="19">
      <t>カクニン</t>
    </rPh>
    <rPh sb="19" eb="21">
      <t>ヘイガン</t>
    </rPh>
    <phoneticPr fontId="4"/>
  </si>
  <si>
    <t>一戸建て等　一般（フラット35）【住宅性能評価併願】</t>
    <rPh sb="17" eb="19">
      <t>ジュウタク</t>
    </rPh>
    <rPh sb="19" eb="21">
      <t>セイノウ</t>
    </rPh>
    <rPh sb="21" eb="23">
      <t>ヒョウカ</t>
    </rPh>
    <rPh sb="23" eb="25">
      <t>ヘイガン</t>
    </rPh>
    <phoneticPr fontId="4"/>
  </si>
  <si>
    <t>一戸建て等　優良（フラット35S）【単独申請】</t>
    <rPh sb="11" eb="13">
      <t>ユウリョウタンドクシンセイ</t>
    </rPh>
    <phoneticPr fontId="4"/>
  </si>
  <si>
    <t>一戸建て等　優良（フラット35S）【確認併願】</t>
    <rPh sb="6" eb="8">
      <t>ユウリョウ</t>
    </rPh>
    <rPh sb="18" eb="20">
      <t>カクニン</t>
    </rPh>
    <rPh sb="20" eb="22">
      <t>ヘイガン</t>
    </rPh>
    <phoneticPr fontId="4"/>
  </si>
  <si>
    <t>一戸建て等　優良（フラット35S）【住宅性能評価併願】</t>
    <rPh sb="6" eb="8">
      <t>ユウリョウ</t>
    </rPh>
    <rPh sb="18" eb="20">
      <t>ジュウタク</t>
    </rPh>
    <rPh sb="20" eb="22">
      <t>セイノウ</t>
    </rPh>
    <rPh sb="22" eb="24">
      <t>ヒョウカ</t>
    </rPh>
    <rPh sb="24" eb="26">
      <t>ヘイガン</t>
    </rPh>
    <phoneticPr fontId="4"/>
  </si>
  <si>
    <t>一戸建て等　一般　竣工済特例【単独申請】</t>
    <rPh sb="6" eb="7">
      <t>イッパン</t>
    </rPh>
    <rPh sb="8" eb="10">
      <t>シュンコウズ</t>
    </rPh>
    <rPh sb="10" eb="12">
      <t>トクレイ</t>
    </rPh>
    <rPh sb="14" eb="16">
      <t>タンドク</t>
    </rPh>
    <rPh sb="16" eb="18">
      <t>シンセイ</t>
    </rPh>
    <phoneticPr fontId="4"/>
  </si>
  <si>
    <t>一戸建て等　一般　竣工済特例【確認併願】</t>
    <rPh sb="6" eb="7">
      <t>イッパン</t>
    </rPh>
    <rPh sb="8" eb="10">
      <t>シュンコウズ</t>
    </rPh>
    <rPh sb="10" eb="12">
      <t>トクレイ</t>
    </rPh>
    <rPh sb="15" eb="17">
      <t>カクニン</t>
    </rPh>
    <rPh sb="17" eb="19">
      <t>ヘイガン</t>
    </rPh>
    <phoneticPr fontId="4"/>
  </si>
  <si>
    <t>一戸建て等　優良　竣工済特例【単独申請】</t>
    <rPh sb="6" eb="8">
      <t>ユウリョウ</t>
    </rPh>
    <rPh sb="8" eb="10">
      <t>シュンコウズ</t>
    </rPh>
    <rPh sb="10" eb="12">
      <t>トクレイ</t>
    </rPh>
    <rPh sb="14" eb="16">
      <t>タンドク</t>
    </rPh>
    <rPh sb="16" eb="18">
      <t>シンセイ</t>
    </rPh>
    <phoneticPr fontId="4"/>
  </si>
  <si>
    <t>一戸建て等　優良　竣工済特例【確認併願】</t>
    <rPh sb="6" eb="8">
      <t>ユウリョウ</t>
    </rPh>
    <rPh sb="8" eb="10">
      <t>シュンコウズ</t>
    </rPh>
    <rPh sb="10" eb="12">
      <t>トクレイ</t>
    </rPh>
    <rPh sb="15" eb="17">
      <t>カクニン</t>
    </rPh>
    <rPh sb="17" eb="19">
      <t>ヘイガン</t>
    </rPh>
    <phoneticPr fontId="4"/>
  </si>
  <si>
    <t>構造審査加算手数料</t>
    <phoneticPr fontId="4"/>
  </si>
  <si>
    <t>設計（一戸建て等）</t>
    <rPh sb="0" eb="2">
      <t>セッケイ</t>
    </rPh>
    <rPh sb="3" eb="6">
      <t>イッコダ</t>
    </rPh>
    <rPh sb="7" eb="8">
      <t>ナド</t>
    </rPh>
    <phoneticPr fontId="16"/>
  </si>
  <si>
    <t>設計　基本料金（共同建て、賃貸住宅融資等）</t>
    <rPh sb="0" eb="2">
      <t>セッケイ</t>
    </rPh>
    <rPh sb="3" eb="5">
      <t>キホン</t>
    </rPh>
    <rPh sb="5" eb="7">
      <t>リョウキン</t>
    </rPh>
    <rPh sb="8" eb="10">
      <t>キョウドウ</t>
    </rPh>
    <rPh sb="10" eb="11">
      <t>ダ</t>
    </rPh>
    <rPh sb="13" eb="15">
      <t>チンタイ</t>
    </rPh>
    <rPh sb="15" eb="17">
      <t>ジュウタク</t>
    </rPh>
    <rPh sb="17" eb="19">
      <t>ユウシ</t>
    </rPh>
    <rPh sb="19" eb="20">
      <t>ナド</t>
    </rPh>
    <phoneticPr fontId="4"/>
  </si>
  <si>
    <t>設計　住戸加算（共同建て、賃貸住宅融資等）</t>
    <rPh sb="0" eb="2">
      <t>セッケイ</t>
    </rPh>
    <rPh sb="3" eb="5">
      <t>ジュウコ</t>
    </rPh>
    <rPh sb="5" eb="7">
      <t>カサン</t>
    </rPh>
    <phoneticPr fontId="4"/>
  </si>
  <si>
    <t>竣工　基本料金（共同建て、賃貸住宅融資等）</t>
    <rPh sb="0" eb="2">
      <t>シュンコウ</t>
    </rPh>
    <rPh sb="3" eb="5">
      <t>キホン</t>
    </rPh>
    <rPh sb="5" eb="7">
      <t>リョウキン</t>
    </rPh>
    <phoneticPr fontId="4"/>
  </si>
  <si>
    <t>竣工　住戸加算（共同建て、賃貸住宅融資等）</t>
    <rPh sb="0" eb="2">
      <t>シュンコウ</t>
    </rPh>
    <rPh sb="3" eb="5">
      <t>ジュウコ</t>
    </rPh>
    <rPh sb="5" eb="7">
      <t>カサン</t>
    </rPh>
    <phoneticPr fontId="4"/>
  </si>
  <si>
    <t>中間（一戸建て等）</t>
    <rPh sb="0" eb="2">
      <t>チュウカン</t>
    </rPh>
    <phoneticPr fontId="4"/>
  </si>
  <si>
    <t>竣工（一戸建て等）</t>
    <rPh sb="0" eb="2">
      <t>シュンコウ</t>
    </rPh>
    <phoneticPr fontId="4"/>
  </si>
  <si>
    <t>登録マンション以外　一般（フラット35）【単独申請】</t>
    <rPh sb="0" eb="1">
      <t>トウロク</t>
    </rPh>
    <rPh sb="6" eb="8">
      <t>イガイ</t>
    </rPh>
    <rPh sb="9" eb="11">
      <t>イッパン</t>
    </rPh>
    <rPh sb="21" eb="23">
      <t>タンドク</t>
    </rPh>
    <rPh sb="23" eb="25">
      <t>シンセイ</t>
    </rPh>
    <phoneticPr fontId="4"/>
  </si>
  <si>
    <t>登録マンション以外　一般（フラット35）【確認併願】</t>
    <rPh sb="0" eb="1">
      <t>トウロク</t>
    </rPh>
    <rPh sb="6" eb="8">
      <t>イガイ</t>
    </rPh>
    <rPh sb="9" eb="11">
      <t>イッパン</t>
    </rPh>
    <rPh sb="21" eb="23">
      <t>カクニン</t>
    </rPh>
    <rPh sb="23" eb="25">
      <t>ヘイガン</t>
    </rPh>
    <phoneticPr fontId="4"/>
  </si>
  <si>
    <t>登録マンション以外　優良（フラット35S）【単独申請】</t>
    <rPh sb="4" eb="6">
      <t>イガイ</t>
    </rPh>
    <rPh sb="20" eb="22">
      <t>タンドク</t>
    </rPh>
    <rPh sb="22" eb="24">
      <t>シンセイ</t>
    </rPh>
    <rPh sb="25" eb="27">
      <t>キホン</t>
    </rPh>
    <phoneticPr fontId="4"/>
  </si>
  <si>
    <t>登録マンション以外　優良（フラット35S）【確認併願】</t>
    <rPh sb="4" eb="6">
      <t>イガイ</t>
    </rPh>
    <rPh sb="20" eb="22">
      <t>カクニン</t>
    </rPh>
    <rPh sb="22" eb="24">
      <t>ヘイガン</t>
    </rPh>
    <rPh sb="25" eb="27">
      <t>キホン</t>
    </rPh>
    <phoneticPr fontId="4"/>
  </si>
  <si>
    <t>登録マンション　一般（フラット35）【単独申請】</t>
    <rPh sb="6" eb="8">
      <t>イッパン</t>
    </rPh>
    <rPh sb="18" eb="20">
      <t>タンドク</t>
    </rPh>
    <rPh sb="20" eb="22">
      <t>シンセイ</t>
    </rPh>
    <phoneticPr fontId="4"/>
  </si>
  <si>
    <t>登録マンション　一般（フラット35）【確認併願】</t>
    <rPh sb="6" eb="8">
      <t>イッパン</t>
    </rPh>
    <rPh sb="18" eb="20">
      <t>カクニン</t>
    </rPh>
    <rPh sb="20" eb="22">
      <t>ヘイガン</t>
    </rPh>
    <phoneticPr fontId="4"/>
  </si>
  <si>
    <t>登録マンション　優良（フラット35S）【単独申請】</t>
    <rPh sb="17" eb="19">
      <t>タンドク</t>
    </rPh>
    <rPh sb="19" eb="21">
      <t>シンセイ</t>
    </rPh>
    <rPh sb="22" eb="24">
      <t>キホン</t>
    </rPh>
    <phoneticPr fontId="4"/>
  </si>
  <si>
    <t>登録マンション　優良（フラット35S）【確認併願】</t>
    <rPh sb="17" eb="19">
      <t>カクニン</t>
    </rPh>
    <rPh sb="19" eb="21">
      <t>ヘイガン</t>
    </rPh>
    <rPh sb="22" eb="24">
      <t>キホン</t>
    </rPh>
    <phoneticPr fontId="4"/>
  </si>
  <si>
    <t>賃貸住宅融資等　【単独申請】</t>
    <rPh sb="0" eb="1">
      <t>チンタイ</t>
    </rPh>
    <rPh sb="1" eb="3">
      <t>ジュウタク</t>
    </rPh>
    <rPh sb="3" eb="5">
      <t>ユウシ</t>
    </rPh>
    <rPh sb="5" eb="6">
      <t>ナドジュウコ</t>
    </rPh>
    <rPh sb="9" eb="11">
      <t>タンドク</t>
    </rPh>
    <rPh sb="11" eb="13">
      <t>シンセイ</t>
    </rPh>
    <phoneticPr fontId="4"/>
  </si>
  <si>
    <t>賃貸住宅融資等　【確認併願】</t>
    <rPh sb="0" eb="1">
      <t>チンタイ</t>
    </rPh>
    <rPh sb="1" eb="3">
      <t>ジュウタク</t>
    </rPh>
    <rPh sb="3" eb="5">
      <t>ユウシ</t>
    </rPh>
    <rPh sb="5" eb="6">
      <t>ナドジュウコ</t>
    </rPh>
    <rPh sb="9" eb="11">
      <t>カクニン</t>
    </rPh>
    <rPh sb="11" eb="13">
      <t>ヘイガン</t>
    </rPh>
    <phoneticPr fontId="4"/>
  </si>
  <si>
    <t>新築住宅　一戸建て等、共同建て（フラット35・財形住宅融資）</t>
    <rPh sb="0" eb="2">
      <t>シンチク</t>
    </rPh>
    <rPh sb="2" eb="4">
      <t>ジュウタク</t>
    </rPh>
    <rPh sb="5" eb="7">
      <t>イッコダ</t>
    </rPh>
    <rPh sb="8" eb="9">
      <t>ナド</t>
    </rPh>
    <rPh sb="11" eb="14">
      <t>キョウドウダ</t>
    </rPh>
    <rPh sb="23" eb="25">
      <t>ザイケイ</t>
    </rPh>
    <rPh sb="25" eb="27">
      <t>ジュウタク</t>
    </rPh>
    <rPh sb="27" eb="29">
      <t>ユウシ</t>
    </rPh>
    <phoneticPr fontId="4"/>
  </si>
  <si>
    <t>※戸建て、及び共同住宅住戸　基本料金</t>
    <rPh sb="1" eb="3">
      <t>コダ</t>
    </rPh>
    <rPh sb="5" eb="6">
      <t>オヨ</t>
    </rPh>
    <rPh sb="7" eb="9">
      <t>キョウドウ</t>
    </rPh>
    <rPh sb="9" eb="11">
      <t>ジュウタク</t>
    </rPh>
    <rPh sb="11" eb="13">
      <t>ジュウコ</t>
    </rPh>
    <rPh sb="14" eb="16">
      <t>キホン</t>
    </rPh>
    <rPh sb="16" eb="18">
      <t>リョウキン</t>
    </rPh>
    <phoneticPr fontId="4"/>
  </si>
  <si>
    <t>加算項目が足りない場合は白紙の行をコピーして挿入する。</t>
    <rPh sb="2" eb="4">
      <t>コウモク</t>
    </rPh>
    <phoneticPr fontId="4"/>
  </si>
  <si>
    <t>※構造審査加算手数料</t>
    <rPh sb="1" eb="3">
      <t>コウゾウ</t>
    </rPh>
    <rPh sb="3" eb="5">
      <t>シンサ</t>
    </rPh>
    <rPh sb="5" eb="7">
      <t>カサン</t>
    </rPh>
    <rPh sb="7" eb="10">
      <t>テスウリョウ</t>
    </rPh>
    <phoneticPr fontId="4"/>
  </si>
  <si>
    <t>室内用カウンター置きプレート　ステンレスまたは透明アクリル(A)(B)共　B5サイズ</t>
    <phoneticPr fontId="4"/>
  </si>
  <si>
    <t>室内用カウンター置きプレート　ステンレスまたは透明アクリル(A)(B)共　B6サイズ</t>
  </si>
  <si>
    <t>室内用カウンター置きプレート　ステンレスまたは透明アクリル(A)(B)共　A6サイズ</t>
    <phoneticPr fontId="4"/>
  </si>
  <si>
    <t>屋内用プレート　透明アクリル(A)(B)共　A4サイズ</t>
    <phoneticPr fontId="4"/>
  </si>
  <si>
    <t>屋内用プレート　透明アクリル(A)(B)共　A3サイズ</t>
    <phoneticPr fontId="4"/>
  </si>
  <si>
    <t>屋外対応プレート　透明アクリルフレーム：シルバーまたはホワイト　A4サイズ</t>
    <phoneticPr fontId="4"/>
  </si>
  <si>
    <t>屋外対応プレート　透明アクリルフレーム：シルバーまたはホワイト　A3サイズ</t>
    <phoneticPr fontId="4"/>
  </si>
  <si>
    <t>シール　白PETラミネート加工　B5サイズ</t>
    <phoneticPr fontId="4"/>
  </si>
  <si>
    <t>シール　白PETラミネート加工　B6サイズまたはA6サイズ</t>
    <phoneticPr fontId="4"/>
  </si>
  <si>
    <t>シール　白PETラミネート加工　「省略版横長タイプ、省略版四角タイプ、省エネ性能ラベル　共」</t>
    <rPh sb="44" eb="45">
      <t>トモ</t>
    </rPh>
    <phoneticPr fontId="4"/>
  </si>
  <si>
    <t>BELSプレート</t>
    <phoneticPr fontId="4"/>
  </si>
  <si>
    <t>完了検査はこちら</t>
    <rPh sb="0" eb="2">
      <t>カンリョウ</t>
    </rPh>
    <rPh sb="2" eb="4">
      <t>ケンサ</t>
    </rPh>
    <phoneticPr fontId="4"/>
  </si>
  <si>
    <t>地名・地番:</t>
    <phoneticPr fontId="4"/>
  </si>
  <si>
    <t>構造・規模:</t>
    <rPh sb="0" eb="1">
      <t>コウゾウ</t>
    </rPh>
    <rPh sb="2" eb="4">
      <t>キボ</t>
    </rPh>
    <phoneticPr fontId="4"/>
  </si>
  <si>
    <t>一戸建ての住宅(新築)　200㎡以内　計算・仕様の併用</t>
    <rPh sb="11" eb="13">
      <t>イナイ</t>
    </rPh>
    <phoneticPr fontId="4"/>
  </si>
  <si>
    <t>一戸建ての住宅(新築)　200㎡以内　一般料金</t>
    <rPh sb="11" eb="13">
      <t>イナイ</t>
    </rPh>
    <phoneticPr fontId="4"/>
  </si>
  <si>
    <t>一戸建ての住宅(新築)　200㎡以上　一般料金</t>
    <rPh sb="12" eb="14">
      <t>イジョウ</t>
    </rPh>
    <rPh sb="16" eb="18">
      <t>イッパン</t>
    </rPh>
    <rPh sb="18" eb="20">
      <t>リョウキン</t>
    </rPh>
    <phoneticPr fontId="4"/>
  </si>
  <si>
    <t>一戸建ての住宅(新築)　200㎡以上　計算・仕様の併用</t>
    <rPh sb="12" eb="14">
      <t>イジョウ</t>
    </rPh>
    <phoneticPr fontId="4"/>
  </si>
  <si>
    <t>一戸建ての住宅(新築)　200㎡以内</t>
    <rPh sb="11" eb="13">
      <t>イナイ</t>
    </rPh>
    <phoneticPr fontId="4"/>
  </si>
  <si>
    <t>一戸建ての住宅(新築)200㎡超</t>
    <rPh sb="11" eb="12">
      <t>チョウ</t>
    </rPh>
    <phoneticPr fontId="4"/>
  </si>
  <si>
    <t>〇</t>
    <phoneticPr fontId="4"/>
  </si>
  <si>
    <t>BELSプレート料金</t>
    <phoneticPr fontId="4"/>
  </si>
  <si>
    <t>別途見積</t>
    <rPh sb="0" eb="2">
      <t>ベット</t>
    </rPh>
    <rPh sb="2" eb="4">
      <t>ミツモリ</t>
    </rPh>
    <phoneticPr fontId="4"/>
  </si>
  <si>
    <t>共同住宅等(新築)　30戸未満（一律）</t>
    <rPh sb="13" eb="15">
      <t>ミマン</t>
    </rPh>
    <rPh sb="16" eb="18">
      <t>イチリツ</t>
    </rPh>
    <phoneticPr fontId="4"/>
  </si>
  <si>
    <t>※戸建て、共同住宅等（新築）30戸未満、確認申請と併願の評価対象の基本手数料はこちらのセルから選ぶ</t>
    <rPh sb="1" eb="3">
      <t>コダ</t>
    </rPh>
    <rPh sb="5" eb="7">
      <t>キョウドウ</t>
    </rPh>
    <rPh sb="7" eb="9">
      <t>ジュウタク</t>
    </rPh>
    <rPh sb="9" eb="10">
      <t>ナド</t>
    </rPh>
    <rPh sb="11" eb="13">
      <t>シンチク</t>
    </rPh>
    <rPh sb="16" eb="17">
      <t>コ</t>
    </rPh>
    <rPh sb="17" eb="19">
      <t>ミマン</t>
    </rPh>
    <rPh sb="33" eb="35">
      <t>キホン</t>
    </rPh>
    <rPh sb="35" eb="38">
      <t>テスウリョウ</t>
    </rPh>
    <rPh sb="47" eb="48">
      <t>エラ</t>
    </rPh>
    <phoneticPr fontId="4"/>
  </si>
  <si>
    <t>共同住宅・長屋等基本料金</t>
    <rPh sb="8" eb="10">
      <t>キホン</t>
    </rPh>
    <rPh sb="10" eb="12">
      <t>リョウキン</t>
    </rPh>
    <phoneticPr fontId="16"/>
  </si>
  <si>
    <t>登録マンション以外　一般（フラット35）【住宅性能評価併願】</t>
    <rPh sb="0" eb="1">
      <t>トウロク</t>
    </rPh>
    <rPh sb="6" eb="8">
      <t>イガイ</t>
    </rPh>
    <rPh sb="9" eb="11">
      <t>イッパン</t>
    </rPh>
    <rPh sb="21" eb="23">
      <t>ジュウタク</t>
    </rPh>
    <rPh sb="23" eb="25">
      <t>セイノウ</t>
    </rPh>
    <rPh sb="25" eb="27">
      <t>ヒョウカ</t>
    </rPh>
    <rPh sb="27" eb="29">
      <t>ヘイガン</t>
    </rPh>
    <phoneticPr fontId="4"/>
  </si>
  <si>
    <t>登録マンション以外　優良（フラット35S）【住宅性能評価併願】</t>
    <rPh sb="4" eb="6">
      <t>イガイ</t>
    </rPh>
    <rPh sb="20" eb="22">
      <t>ヒョウカ</t>
    </rPh>
    <rPh sb="22" eb="24">
      <t>ジュウタク</t>
    </rPh>
    <rPh sb="24" eb="26">
      <t>セイノウ</t>
    </rPh>
    <rPh sb="26" eb="28">
      <t>ヘイガン</t>
    </rPh>
    <rPh sb="29" eb="31">
      <t>キホン</t>
    </rPh>
    <phoneticPr fontId="4"/>
  </si>
  <si>
    <t>登録マンション　一般（フラット35）【住宅性能評価評価併願】</t>
    <rPh sb="6" eb="8">
      <t>イッパン</t>
    </rPh>
    <rPh sb="19" eb="21">
      <t>ジュウタク</t>
    </rPh>
    <rPh sb="21" eb="23">
      <t>セイノウ</t>
    </rPh>
    <rPh sb="23" eb="25">
      <t>ヒョウカ</t>
    </rPh>
    <rPh sb="25" eb="27">
      <t>ヒョウカ</t>
    </rPh>
    <rPh sb="26" eb="28">
      <t>ヘイガン</t>
    </rPh>
    <phoneticPr fontId="4"/>
  </si>
  <si>
    <t>登録マンション　優良（フラット35S）【住宅性能評価併願】</t>
    <rPh sb="17" eb="19">
      <t>ヒョウカ</t>
    </rPh>
    <rPh sb="20" eb="22">
      <t>ジュウタク</t>
    </rPh>
    <rPh sb="22" eb="24">
      <t>セイノウ</t>
    </rPh>
    <rPh sb="24" eb="26">
      <t>ヒョウカ</t>
    </rPh>
    <rPh sb="26" eb="28">
      <t>キホン</t>
    </rPh>
    <phoneticPr fontId="4"/>
  </si>
  <si>
    <t>該当なし</t>
    <rPh sb="0" eb="2">
      <t>ガイトウ</t>
    </rPh>
    <phoneticPr fontId="4"/>
  </si>
  <si>
    <t>確認（一戸建て等）</t>
    <rPh sb="0" eb="2">
      <t>カクニン</t>
    </rPh>
    <phoneticPr fontId="4"/>
  </si>
  <si>
    <t>設計（一戸建て等）※なし</t>
    <rPh sb="0" eb="2">
      <t>セッケイ</t>
    </rPh>
    <rPh sb="3" eb="6">
      <t>イッコダ</t>
    </rPh>
    <rPh sb="7" eb="8">
      <t>ナド</t>
    </rPh>
    <phoneticPr fontId="16"/>
  </si>
  <si>
    <t>中間（一戸建て等）※なし</t>
    <rPh sb="0" eb="2">
      <t>チュウカン</t>
    </rPh>
    <phoneticPr fontId="4"/>
  </si>
  <si>
    <t>　</t>
    <phoneticPr fontId="4"/>
  </si>
  <si>
    <t>竣工　基本料金</t>
    <rPh sb="0" eb="2">
      <t>シュンコウ</t>
    </rPh>
    <rPh sb="3" eb="5">
      <t>キホン</t>
    </rPh>
    <rPh sb="5" eb="7">
      <t>リョウキン</t>
    </rPh>
    <phoneticPr fontId="4"/>
  </si>
  <si>
    <t>竣工　住戸加算</t>
    <rPh sb="0" eb="2">
      <t>シュンコウ</t>
    </rPh>
    <rPh sb="3" eb="5">
      <t>ジュウコ</t>
    </rPh>
    <rPh sb="5" eb="7">
      <t>カサン</t>
    </rPh>
    <phoneticPr fontId="4"/>
  </si>
  <si>
    <t>設計　住戸加算</t>
    <rPh sb="0" eb="2">
      <t>セッケイ</t>
    </rPh>
    <rPh sb="3" eb="5">
      <t>ジュウコ</t>
    </rPh>
    <rPh sb="5" eb="7">
      <t>カサン</t>
    </rPh>
    <phoneticPr fontId="4"/>
  </si>
  <si>
    <t>設計　住戸加算　※なし</t>
    <rPh sb="0" eb="2">
      <t>セッケイ</t>
    </rPh>
    <rPh sb="3" eb="5">
      <t>ジュウコ</t>
    </rPh>
    <rPh sb="5" eb="7">
      <t>カサン</t>
    </rPh>
    <phoneticPr fontId="4"/>
  </si>
  <si>
    <t>設計　基本料金</t>
    <rPh sb="0" eb="2">
      <t>セッケイ</t>
    </rPh>
    <rPh sb="3" eb="5">
      <t>キホン</t>
    </rPh>
    <rPh sb="5" eb="7">
      <t>リョウキン</t>
    </rPh>
    <phoneticPr fontId="4"/>
  </si>
  <si>
    <t>設計　基本料金　※なし</t>
    <rPh sb="0" eb="2">
      <t>セッケイ</t>
    </rPh>
    <rPh sb="3" eb="5">
      <t>キホン</t>
    </rPh>
    <rPh sb="5" eb="7">
      <t>リョウキン</t>
    </rPh>
    <phoneticPr fontId="4"/>
  </si>
  <si>
    <t>構造強度にかかる審査を要する計画変更</t>
    <phoneticPr fontId="4"/>
  </si>
  <si>
    <t>計画変更料金及び軽微変更該当証明料金 変更後の床面積・用途に応じた金額の60％</t>
    <rPh sb="19" eb="22">
      <t>ヘンコウゴ</t>
    </rPh>
    <rPh sb="23" eb="26">
      <t>ユカメンセキ</t>
    </rPh>
    <rPh sb="27" eb="29">
      <t>ヨウト</t>
    </rPh>
    <rPh sb="30" eb="31">
      <t>オウ</t>
    </rPh>
    <rPh sb="33" eb="35">
      <t>キンガク</t>
    </rPh>
    <phoneticPr fontId="4"/>
  </si>
  <si>
    <t>軽微変更該当証明を２回以上を行う場合は、変更後の床面積・用途に応じた金額の40％</t>
    <rPh sb="10" eb="11">
      <t>カイ</t>
    </rPh>
    <rPh sb="11" eb="13">
      <t>イジョウ</t>
    </rPh>
    <rPh sb="14" eb="15">
      <t>オコナ</t>
    </rPh>
    <rPh sb="16" eb="18">
      <t>バアイ</t>
    </rPh>
    <rPh sb="20" eb="23">
      <t>ヘンコウゴ</t>
    </rPh>
    <rPh sb="24" eb="27">
      <t>ユカメンセキ</t>
    </rPh>
    <rPh sb="28" eb="30">
      <t>ヨウト</t>
    </rPh>
    <rPh sb="31" eb="32">
      <t>オウ</t>
    </rPh>
    <rPh sb="34" eb="36">
      <t>キンガク</t>
    </rPh>
    <phoneticPr fontId="4"/>
  </si>
  <si>
    <t>対象となる室がなく計算書がない場合</t>
    <rPh sb="0" eb="2">
      <t>タイショウ</t>
    </rPh>
    <rPh sb="5" eb="6">
      <t>シツ</t>
    </rPh>
    <rPh sb="9" eb="12">
      <t>ケイサンショ</t>
    </rPh>
    <rPh sb="15" eb="17">
      <t>バアイ</t>
    </rPh>
    <phoneticPr fontId="4"/>
  </si>
  <si>
    <t>出張旅費検索　都道府県</t>
    <rPh sb="0" eb="2">
      <t>シュッチョウ</t>
    </rPh>
    <rPh sb="2" eb="4">
      <t>リョヒ</t>
    </rPh>
    <rPh sb="4" eb="6">
      <t>ケンサク</t>
    </rPh>
    <rPh sb="7" eb="11">
      <t>トドウフケン</t>
    </rPh>
    <phoneticPr fontId="4"/>
  </si>
  <si>
    <t>出張料金</t>
    <rPh sb="0" eb="2">
      <t>シュッチョウ</t>
    </rPh>
    <rPh sb="2" eb="4">
      <t>リョウキン</t>
    </rPh>
    <phoneticPr fontId="4"/>
  </si>
  <si>
    <t>支店名</t>
    <rPh sb="0" eb="3">
      <t>シテンメイ</t>
    </rPh>
    <phoneticPr fontId="4"/>
  </si>
  <si>
    <t>電話番号、FAX番号</t>
    <rPh sb="0" eb="4">
      <t>デンワバンゴウ</t>
    </rPh>
    <rPh sb="8" eb="10">
      <t>バンゴウ</t>
    </rPh>
    <phoneticPr fontId="4"/>
  </si>
  <si>
    <r>
      <t>※共同住宅等の住戸加算の場合は</t>
    </r>
    <r>
      <rPr>
        <sz val="9"/>
        <color rgb="FFFFC000"/>
        <rFont val="ＭＳ Ｐ明朝"/>
        <family val="1"/>
        <charset val="128"/>
      </rPr>
      <t>入力シート</t>
    </r>
    <r>
      <rPr>
        <sz val="9"/>
        <color rgb="FFC00000"/>
        <rFont val="ＭＳ Ｐ明朝"/>
        <family val="1"/>
        <charset val="128"/>
      </rPr>
      <t>に住戸数を必ず入力！！</t>
    </r>
    <rPh sb="1" eb="5">
      <t>キョウドウジュウタク</t>
    </rPh>
    <rPh sb="5" eb="6">
      <t>ナド</t>
    </rPh>
    <rPh sb="7" eb="9">
      <t>ジュウコ</t>
    </rPh>
    <rPh sb="9" eb="11">
      <t>カサン</t>
    </rPh>
    <rPh sb="12" eb="14">
      <t>バアイ</t>
    </rPh>
    <rPh sb="15" eb="17">
      <t>ニュウリョク</t>
    </rPh>
    <rPh sb="21" eb="24">
      <t>ジュウコスウ</t>
    </rPh>
    <rPh sb="25" eb="26">
      <t>カナラ</t>
    </rPh>
    <rPh sb="27" eb="29">
      <t>ニュウリョク</t>
    </rPh>
    <phoneticPr fontId="4"/>
  </si>
  <si>
    <t>選択項目の追加</t>
    <phoneticPr fontId="4"/>
  </si>
  <si>
    <t>特約の有無</t>
    <rPh sb="0" eb="2">
      <t>トクヤク</t>
    </rPh>
    <rPh sb="3" eb="5">
      <t>ウム</t>
    </rPh>
    <phoneticPr fontId="4"/>
  </si>
  <si>
    <t>2.特約　確認および検査手数料10％off（加算手数料は通常通り）</t>
    <rPh sb="2" eb="4">
      <t>トクヤク</t>
    </rPh>
    <rPh sb="5" eb="7">
      <t>カクニン</t>
    </rPh>
    <rPh sb="10" eb="12">
      <t>ケンサ</t>
    </rPh>
    <rPh sb="12" eb="15">
      <t>テスウリョウ</t>
    </rPh>
    <rPh sb="22" eb="24">
      <t>カサン</t>
    </rPh>
    <rPh sb="24" eb="27">
      <t>テスウリョウ</t>
    </rPh>
    <rPh sb="28" eb="30">
      <t>ツウジョウ</t>
    </rPh>
    <rPh sb="30" eb="31">
      <t>ドオ</t>
    </rPh>
    <phoneticPr fontId="16"/>
  </si>
  <si>
    <t>3.特約　確認および検査手数料20％off（加算手数料は通常通り）</t>
    <rPh sb="2" eb="4">
      <t>トクヤク</t>
    </rPh>
    <rPh sb="5" eb="7">
      <t>カクニン</t>
    </rPh>
    <rPh sb="10" eb="12">
      <t>ケンサ</t>
    </rPh>
    <rPh sb="12" eb="15">
      <t>テスウリョウ</t>
    </rPh>
    <rPh sb="22" eb="24">
      <t>カサン</t>
    </rPh>
    <rPh sb="24" eb="27">
      <t>テスウリョウ</t>
    </rPh>
    <rPh sb="28" eb="30">
      <t>ツウジョウ</t>
    </rPh>
    <rPh sb="30" eb="31">
      <t>ドオ</t>
    </rPh>
    <phoneticPr fontId="16"/>
  </si>
  <si>
    <t>1.確認検査基本手数料(通常料金)</t>
    <rPh sb="2" eb="4">
      <t>カクニン</t>
    </rPh>
    <rPh sb="4" eb="6">
      <t>ケンサ</t>
    </rPh>
    <rPh sb="6" eb="8">
      <t>キホン</t>
    </rPh>
    <rPh sb="8" eb="11">
      <t>テスウリョウ</t>
    </rPh>
    <rPh sb="12" eb="14">
      <t>ツウジョウ</t>
    </rPh>
    <rPh sb="14" eb="16">
      <t>リョウキン</t>
    </rPh>
    <phoneticPr fontId="16"/>
  </si>
  <si>
    <t>中間検査基本手数料</t>
    <rPh sb="0" eb="2">
      <t>チュウカン</t>
    </rPh>
    <rPh sb="2" eb="4">
      <t>ケンサ</t>
    </rPh>
    <rPh sb="4" eb="6">
      <t>キホン</t>
    </rPh>
    <rPh sb="6" eb="9">
      <t>テスウリョウ</t>
    </rPh>
    <phoneticPr fontId="4"/>
  </si>
  <si>
    <t>※ 見積作成時点での消費税率です。請求書発行時に税率が改正されている場合には、改正後の消費税率が適用されます。</t>
  </si>
  <si>
    <t>※　上記金額は、紛争処理支援センターへの負担金を含みます。</t>
  </si>
  <si>
    <t>※構造強度にかかる審査を要する変更申請は上記料金の60％、構造強度にかかる審査を要しない変更申請は上記料金の40％となります。</t>
  </si>
  <si>
    <t>※建築基準法の確認申請又は計画通知を当機関以外で行う場合（予定含む）は、【判定料金】に応じた金額の20％を加算します。</t>
  </si>
  <si>
    <t>※上記の「1）.住宅のBELS評価料金、「2）.非住宅のBELS評価料金」で算出した料金の合計とします。</t>
  </si>
  <si>
    <t>※　建築地が最寄り公共交通施設（駅舎等）から著しく遠い場合は別途割増手数料が追加される場合があります。</t>
  </si>
  <si>
    <t>※　建築物全体のみ、又は建築物全体及び住戸の部分が対象となります。</t>
  </si>
  <si>
    <t>※　変更に係る技術的審査の料金は上記各料金の50％の額となります。</t>
  </si>
  <si>
    <t>※　適合証の滅失、汚損、破損による再交付料金は1通につき11,000円（税込）となります。</t>
  </si>
  <si>
    <t>※ 計画変更料金及び軽微変更該当証明料金は従前申請を当機関で判定し、評価方法が同じ場合は変更後の床面積・用途に</t>
  </si>
  <si>
    <t>※軽微変更該当証明を2回以上行う場合は、2回目以降は変更後の床面積・用途に応じた金額の40％とします。</t>
  </si>
  <si>
    <t>※対象となる室がなく計算書がない場合は税抜￥30,000（税込￥33,000）とします。</t>
  </si>
  <si>
    <t>　　　ただし、変更があり計算が必要になる場合は【判定料金】に応じた金額を適用します。</t>
  </si>
  <si>
    <t>省エネ適判の申請と同時期に設計性能評価を申請し、5-1・5-2に関わる計算書が同じで審査を省略できる場合</t>
    <phoneticPr fontId="4"/>
  </si>
  <si>
    <t>省エネ適判との同時申請による5-1・5-2の加算手数料免除（条件を満たすこと）</t>
    <rPh sb="0" eb="1">
      <t>ショウ</t>
    </rPh>
    <rPh sb="3" eb="5">
      <t>テキハン</t>
    </rPh>
    <rPh sb="7" eb="9">
      <t>ドウジ</t>
    </rPh>
    <rPh sb="9" eb="11">
      <t>シンセイ</t>
    </rPh>
    <rPh sb="30" eb="32">
      <t>ジョウケン</t>
    </rPh>
    <rPh sb="33" eb="34">
      <t>ミ</t>
    </rPh>
    <phoneticPr fontId="4"/>
  </si>
  <si>
    <t>共用部の審査を行う場合（共用部の審査が不要な場合は下記加算料金はかかりません）</t>
    <rPh sb="0" eb="2">
      <t>キョウヨウブ</t>
    </rPh>
    <rPh sb="3" eb="5">
      <t>シンサ</t>
    </rPh>
    <rPh sb="6" eb="7">
      <t>オコナ</t>
    </rPh>
    <rPh sb="8" eb="10">
      <t>バアイ</t>
    </rPh>
    <rPh sb="11" eb="14">
      <t>キョウヨウブ</t>
    </rPh>
    <rPh sb="15" eb="17">
      <t>シンサ</t>
    </rPh>
    <rPh sb="18" eb="20">
      <t>フヨウ</t>
    </rPh>
    <rPh sb="21" eb="23">
      <t>バアイ</t>
    </rPh>
    <rPh sb="24" eb="26">
      <t>カキ</t>
    </rPh>
    <rPh sb="26" eb="28">
      <t>カサン</t>
    </rPh>
    <rPh sb="28" eb="30">
      <t>リョウキン</t>
    </rPh>
    <phoneticPr fontId="4"/>
  </si>
  <si>
    <t>建築基準法の確認申請又は計画通知を当機関以外で行う場合</t>
    <rPh sb="0" eb="2">
      <t>ケンチク</t>
    </rPh>
    <rPh sb="2" eb="5">
      <t>キジュンホウ</t>
    </rPh>
    <rPh sb="6" eb="8">
      <t>カクニン</t>
    </rPh>
    <rPh sb="8" eb="10">
      <t>シンセイ</t>
    </rPh>
    <rPh sb="10" eb="11">
      <t>マタ</t>
    </rPh>
    <rPh sb="12" eb="14">
      <t>ケイカク</t>
    </rPh>
    <rPh sb="14" eb="16">
      <t>ツウチ</t>
    </rPh>
    <rPh sb="17" eb="20">
      <t>トウキカン</t>
    </rPh>
    <rPh sb="20" eb="22">
      <t>イガイ</t>
    </rPh>
    <rPh sb="23" eb="24">
      <t>オコナ</t>
    </rPh>
    <rPh sb="25" eb="27">
      <t>バアイ</t>
    </rPh>
    <phoneticPr fontId="4"/>
  </si>
  <si>
    <t>総戸数30戸以上で、総戸数に対して評価住戸数があきらかに少ない場合</t>
    <phoneticPr fontId="4"/>
  </si>
  <si>
    <t>弊社で確認申請を行った場合で共同住宅（30戸未満）必須項目のみを取得し、なおかつ劣化対策等級が2または3、その他の等級が全て1の場合には、判定料金10％引き</t>
    <phoneticPr fontId="4"/>
  </si>
  <si>
    <t>他社で確認申請を審査している場合、設計住宅性能評価の料金に1.2を乗じた金額</t>
    <phoneticPr fontId="4"/>
  </si>
  <si>
    <t>※東京都・神奈川県の場合は上記御見積に含まれます</t>
    <phoneticPr fontId="4"/>
  </si>
  <si>
    <t>中間検査基本手数料1回目</t>
    <rPh sb="0" eb="2">
      <t>チュウカン</t>
    </rPh>
    <rPh sb="2" eb="4">
      <t>ケンサ</t>
    </rPh>
    <rPh sb="4" eb="6">
      <t>キホン</t>
    </rPh>
    <rPh sb="6" eb="9">
      <t>テスウリョウ</t>
    </rPh>
    <rPh sb="10" eb="12">
      <t>カイメ</t>
    </rPh>
    <phoneticPr fontId="4"/>
  </si>
  <si>
    <t>中間検査基本手数料2回目</t>
    <rPh sb="0" eb="2">
      <t>チュウカン</t>
    </rPh>
    <rPh sb="2" eb="4">
      <t>ケンサ</t>
    </rPh>
    <rPh sb="4" eb="6">
      <t>キホン</t>
    </rPh>
    <rPh sb="6" eb="9">
      <t>テスウリョウ</t>
    </rPh>
    <rPh sb="10" eb="12">
      <t>カイメ</t>
    </rPh>
    <phoneticPr fontId="4"/>
  </si>
  <si>
    <t>中間検査基本手数料3回目</t>
    <rPh sb="0" eb="2">
      <t>チュウカン</t>
    </rPh>
    <rPh sb="2" eb="4">
      <t>ケンサ</t>
    </rPh>
    <rPh sb="4" eb="6">
      <t>キホン</t>
    </rPh>
    <rPh sb="6" eb="9">
      <t>テスウリョウ</t>
    </rPh>
    <rPh sb="10" eb="12">
      <t>カイメ</t>
    </rPh>
    <phoneticPr fontId="4"/>
  </si>
  <si>
    <t>審査省力化による割引、または確認申請が当社以外の場合による増額</t>
    <rPh sb="0" eb="2">
      <t>シンサ</t>
    </rPh>
    <rPh sb="2" eb="5">
      <t>ショウリョクカ</t>
    </rPh>
    <rPh sb="8" eb="10">
      <t>ワリビキ</t>
    </rPh>
    <rPh sb="14" eb="16">
      <t>カクニン</t>
    </rPh>
    <rPh sb="16" eb="18">
      <t>シンセイ</t>
    </rPh>
    <rPh sb="19" eb="21">
      <t>トウシャ</t>
    </rPh>
    <rPh sb="21" eb="23">
      <t>イガイ</t>
    </rPh>
    <rPh sb="24" eb="26">
      <t>バアイ</t>
    </rPh>
    <rPh sb="29" eb="31">
      <t>ゾウガク</t>
    </rPh>
    <phoneticPr fontId="4"/>
  </si>
  <si>
    <r>
      <t>※共同住宅等（新築）30戸以上の場合は</t>
    </r>
    <r>
      <rPr>
        <sz val="9"/>
        <color rgb="FFFFC000"/>
        <rFont val="ＭＳ Ｐ明朝"/>
        <family val="1"/>
        <charset val="128"/>
      </rPr>
      <t>入力シート</t>
    </r>
    <r>
      <rPr>
        <sz val="9"/>
        <color rgb="FFC00000"/>
        <rFont val="ＭＳ Ｐ明朝"/>
        <family val="1"/>
        <charset val="128"/>
      </rPr>
      <t>に住戸数を必ず入力！！</t>
    </r>
    <rPh sb="1" eb="5">
      <t>キョウドウジュウタク</t>
    </rPh>
    <rPh sb="5" eb="6">
      <t>ナド</t>
    </rPh>
    <rPh sb="7" eb="9">
      <t>シンチク</t>
    </rPh>
    <rPh sb="12" eb="13">
      <t>コ</t>
    </rPh>
    <rPh sb="13" eb="15">
      <t>イジョウ</t>
    </rPh>
    <rPh sb="16" eb="18">
      <t>バアイ</t>
    </rPh>
    <rPh sb="19" eb="21">
      <t>ニュウリョク</t>
    </rPh>
    <rPh sb="25" eb="28">
      <t>ジュウコスウ</t>
    </rPh>
    <rPh sb="29" eb="30">
      <t>カナラ</t>
    </rPh>
    <rPh sb="31" eb="33">
      <t>ニュウリョク</t>
    </rPh>
    <phoneticPr fontId="4"/>
  </si>
  <si>
    <t>別機関への申請による増額等（上記合計に20％加算）</t>
    <rPh sb="0" eb="3">
      <t>ベツキカン</t>
    </rPh>
    <rPh sb="5" eb="7">
      <t>シンセイ</t>
    </rPh>
    <rPh sb="10" eb="12">
      <t>ゾウガク</t>
    </rPh>
    <rPh sb="14" eb="16">
      <t>ジョウキ</t>
    </rPh>
    <rPh sb="16" eb="18">
      <t>ゴウケイ</t>
    </rPh>
    <rPh sb="21" eb="23">
      <t>カサン</t>
    </rPh>
    <phoneticPr fontId="4"/>
  </si>
  <si>
    <t>モデル建物法</t>
    <rPh sb="3" eb="5">
      <t>タテモノ</t>
    </rPh>
    <rPh sb="5" eb="6">
      <t>ホウ</t>
    </rPh>
    <phoneticPr fontId="4"/>
  </si>
  <si>
    <t>標準入力法</t>
    <rPh sb="0" eb="2">
      <t>ヒョウジュン</t>
    </rPh>
    <rPh sb="2" eb="5">
      <t>ニュウリョクホウ</t>
    </rPh>
    <phoneticPr fontId="4"/>
  </si>
  <si>
    <t>性能基準</t>
    <rPh sb="0" eb="2">
      <t>セイノウ</t>
    </rPh>
    <rPh sb="2" eb="4">
      <t>キジュン</t>
    </rPh>
    <phoneticPr fontId="4"/>
  </si>
  <si>
    <t>省エネ</t>
    <rPh sb="0" eb="1">
      <t>ショウ</t>
    </rPh>
    <phoneticPr fontId="4"/>
  </si>
  <si>
    <t>共同住宅・長屋等</t>
    <phoneticPr fontId="16"/>
  </si>
  <si>
    <t>主要用途</t>
    <rPh sb="0" eb="2">
      <t>シュヨウ</t>
    </rPh>
    <rPh sb="2" eb="4">
      <t>ヨウト</t>
    </rPh>
    <phoneticPr fontId="4"/>
  </si>
  <si>
    <t>一戸建ての住宅</t>
  </si>
  <si>
    <t>長屋</t>
  </si>
  <si>
    <t>共同住宅</t>
  </si>
  <si>
    <t>寄宿舎</t>
  </si>
  <si>
    <t>下宿</t>
  </si>
  <si>
    <t>住宅で事務所、店舗その他これらに類する用途を兼ねるもの</t>
  </si>
  <si>
    <t>幼稚園</t>
  </si>
  <si>
    <t>小学校</t>
  </si>
  <si>
    <t>義務教育学校</t>
  </si>
  <si>
    <t>中学校、高等学校又は中等教育学校</t>
  </si>
  <si>
    <t>特別支援学校</t>
  </si>
  <si>
    <t>大学又は高等専門学校</t>
  </si>
  <si>
    <t>専修学校</t>
  </si>
  <si>
    <t>各種学校</t>
  </si>
  <si>
    <t>幼保連携型認定こども園</t>
  </si>
  <si>
    <t>図書館その他これに類するもの</t>
  </si>
  <si>
    <t>博物館その他これに類するもの</t>
  </si>
  <si>
    <t>美術館その他これに類するもの</t>
  </si>
  <si>
    <t>神社、寺院、教会その他これらに類するもの</t>
  </si>
  <si>
    <t>老人ホーム、福祉ホームその他これに類するもの</t>
  </si>
  <si>
    <t>保育所その他これに類するもの</t>
  </si>
  <si>
    <t>病院</t>
  </si>
  <si>
    <t>巡査派出所</t>
  </si>
  <si>
    <t>公衆電話所</t>
  </si>
  <si>
    <t>郵便法の規定により行う郵便の業務の用に供する施設</t>
  </si>
  <si>
    <t>地方公共団体の支庁又は支所</t>
  </si>
  <si>
    <t>公衆便所、休憩所又は路線バスの停留所の上家</t>
  </si>
  <si>
    <t>税務署、警察署、保健所又は消防署その他これらに類するもの</t>
  </si>
  <si>
    <t>自動車修理工場</t>
  </si>
  <si>
    <t>危険物の貯蔵又は処理に供するもの</t>
  </si>
  <si>
    <t>ボーリング場、スケート場、水泳場、スキー場、ゴルフ練習場又はバッティング練習場</t>
  </si>
  <si>
    <t>体育館又はスポーツの練習場</t>
  </si>
  <si>
    <t>ホテル又は旅館</t>
  </si>
  <si>
    <t>自動車教習所</t>
  </si>
  <si>
    <t>堆肥舎又は水産物の増殖場若しくは養殖場</t>
  </si>
  <si>
    <t>日用品の販売を主たる目的とする店舗</t>
  </si>
  <si>
    <t>食堂又は喫茶店</t>
  </si>
  <si>
    <t>銀行の支店、損害保険代理店、宅地建物取引業を営む店舗その他これらに類するサービス業を営む店舗</t>
  </si>
  <si>
    <t>事務所</t>
  </si>
  <si>
    <t>映画スタジオ又はテレビスタジオ</t>
  </si>
  <si>
    <t>自動車車庫</t>
  </si>
  <si>
    <t>自転車駐車場</t>
  </si>
  <si>
    <t>倉庫業を営む倉庫</t>
  </si>
  <si>
    <t>倉庫業を営まない倉庫</t>
  </si>
  <si>
    <t>劇場、映画館又は演芸場</t>
  </si>
  <si>
    <t>観覧場</t>
  </si>
  <si>
    <t>展示場</t>
  </si>
  <si>
    <t>料理店</t>
  </si>
  <si>
    <t>キャバレー、カフェー、ナイトクラブ又はバー</t>
  </si>
  <si>
    <t>ダンスホール</t>
  </si>
  <si>
    <t>卸売市場</t>
  </si>
  <si>
    <t>火葬場又はと畜場、汚物処理場、ごみ焼却場その他の処理施設</t>
  </si>
  <si>
    <t>農産物の生産、集荷、処理又は貯蔵に供するもの</t>
  </si>
  <si>
    <t>農業の生産資材の貯蔵に供するもの</t>
  </si>
  <si>
    <t>その他</t>
    <rPh sb="2" eb="3">
      <t>タ</t>
    </rPh>
    <phoneticPr fontId="4"/>
  </si>
  <si>
    <t>助産所（入所する者の寝室がないものに限る。）</t>
    <phoneticPr fontId="4"/>
  </si>
  <si>
    <t>公会堂又は集会場※葬祭場・セレモニーホール</t>
    <phoneticPr fontId="4"/>
  </si>
  <si>
    <t>畜舎※ペットシェルター・動物保護施設</t>
    <phoneticPr fontId="4"/>
  </si>
  <si>
    <t>マージャン屋、ぱちんこ屋、射的場、勝馬投票券発売所、場外車券売場その他これらに類するもの又はカラオケボックスその他これらに類するもの※ゲームセンター</t>
    <phoneticPr fontId="4"/>
  </si>
  <si>
    <t>診療所（患者の収容施設のあるもの）</t>
    <phoneticPr fontId="4"/>
  </si>
  <si>
    <t>診療所（患者の収容施設のないもの）</t>
    <phoneticPr fontId="4"/>
  </si>
  <si>
    <t>公衆浴場（個室付浴場業に係る公衆浴場を除く。）</t>
    <phoneticPr fontId="4"/>
  </si>
  <si>
    <t>児童福祉施設等（入所する者の寝室がないもの）</t>
    <phoneticPr fontId="4"/>
  </si>
  <si>
    <t>工場（自動車修理工場を除く。）</t>
    <phoneticPr fontId="4"/>
  </si>
  <si>
    <t>助産所（入所する者の寝室があるものに限る。）</t>
    <phoneticPr fontId="4"/>
  </si>
  <si>
    <t>児童福祉施設等（（入所する者の寝室があるもの）</t>
    <phoneticPr fontId="4"/>
  </si>
  <si>
    <t>百貨店、マーケットその他の物品販売業を営む店舗</t>
    <phoneticPr fontId="4"/>
  </si>
  <si>
    <t>飲食店</t>
    <phoneticPr fontId="4"/>
  </si>
  <si>
    <t>物品販売業を営む店舗以外の店舗</t>
    <phoneticPr fontId="4"/>
  </si>
  <si>
    <t>共同住宅・長屋　30戸未満の物件</t>
    <rPh sb="0" eb="1">
      <t>キョウドウジュウタクナガヤココミマン</t>
    </rPh>
    <rPh sb="14" eb="16">
      <t>ブッケン</t>
    </rPh>
    <phoneticPr fontId="4"/>
  </si>
  <si>
    <t>共同住宅・長屋　30戸以上の物件</t>
    <rPh sb="0" eb="1">
      <t>キョウドウジュウタクナガヤココミマン</t>
    </rPh>
    <rPh sb="11" eb="13">
      <t>イジョウ</t>
    </rPh>
    <rPh sb="14" eb="16">
      <t>ブッケン</t>
    </rPh>
    <phoneticPr fontId="4"/>
  </si>
  <si>
    <t>田園住居地域及びその周辺の地域で生産された農産物の販売を主たる目的とする店舗で作業場の床面積の合計が50㎡以内のもの</t>
    <phoneticPr fontId="4"/>
  </si>
  <si>
    <t>個室付浴場業に係る公衆浴場、ヌードスタジオ、のぞき劇場、ストリップ劇場、専ら異性を同伴する客の休憩の用に供する施設</t>
    <phoneticPr fontId="4"/>
  </si>
  <si>
    <t>理髪店、美容院、クリーニング取次店、質屋、貸衣装屋、貸本屋その他これらに類するサービス業を営む店舗で作業場の床面積の合計が50㎡以内のもの※宅配サービス（デリバリー店舗）</t>
    <phoneticPr fontId="4"/>
  </si>
  <si>
    <t>工場（自動車修理工場を除く）、自動車修理工場、倉庫業を営む倉庫、倉庫業を営まない倉庫、卸売市場、火葬場又はと畜場、汚物処理場、ごみ焼却場その他の処理施設</t>
    <phoneticPr fontId="4"/>
  </si>
  <si>
    <t>共用部の審査の有無</t>
    <rPh sb="0" eb="3">
      <t>キョウヨウブ</t>
    </rPh>
    <rPh sb="4" eb="6">
      <t>シンサ</t>
    </rPh>
    <rPh sb="7" eb="9">
      <t>ウム</t>
    </rPh>
    <phoneticPr fontId="4"/>
  </si>
  <si>
    <t>区画避難安全検証法「１区画」</t>
    <rPh sb="11" eb="13">
      <t>クカク</t>
    </rPh>
    <phoneticPr fontId="4"/>
  </si>
  <si>
    <t>区画避難安全検証法「２区画以上」</t>
    <rPh sb="13" eb="15">
      <t>イジョウ</t>
    </rPh>
    <phoneticPr fontId="4"/>
  </si>
  <si>
    <t>階避難避難安全検証法「単独階」</t>
    <rPh sb="11" eb="13">
      <t>タンドク</t>
    </rPh>
    <rPh sb="13" eb="14">
      <t>カイ</t>
    </rPh>
    <phoneticPr fontId="4"/>
  </si>
  <si>
    <t>階避難避難安全検証法「複数階（２階数）以上」</t>
    <rPh sb="11" eb="13">
      <t>フクスウ</t>
    </rPh>
    <rPh sb="13" eb="14">
      <t>カイ</t>
    </rPh>
    <rPh sb="16" eb="17">
      <t>カイ</t>
    </rPh>
    <rPh sb="17" eb="18">
      <t>スウ</t>
    </rPh>
    <rPh sb="19" eb="21">
      <t>イジョウ</t>
    </rPh>
    <phoneticPr fontId="4"/>
  </si>
  <si>
    <t>構造計算ルート２に申請するもの</t>
    <rPh sb="9" eb="11">
      <t>シンセイ</t>
    </rPh>
    <phoneticPr fontId="4"/>
  </si>
  <si>
    <t>必要</t>
    <rPh sb="0" eb="2">
      <t>ヒツヨウ</t>
    </rPh>
    <phoneticPr fontId="4"/>
  </si>
  <si>
    <t>共同住宅・長屋等 住戸加算(戸あたり)</t>
    <rPh sb="9" eb="11">
      <t>ジュウコ</t>
    </rPh>
    <rPh sb="11" eb="13">
      <t>カサン</t>
    </rPh>
    <rPh sb="14" eb="15">
      <t>コ</t>
    </rPh>
    <phoneticPr fontId="16"/>
  </si>
  <si>
    <t>省エネ適判</t>
    <rPh sb="0" eb="1">
      <t>ショウ</t>
    </rPh>
    <rPh sb="3" eb="5">
      <t>テキハン</t>
    </rPh>
    <phoneticPr fontId="4"/>
  </si>
  <si>
    <t>非住宅系</t>
    <rPh sb="0" eb="3">
      <t>ヒジュウタク</t>
    </rPh>
    <rPh sb="3" eb="4">
      <t>ケイ</t>
    </rPh>
    <phoneticPr fontId="4"/>
  </si>
  <si>
    <t>主要用途（選択）</t>
    <rPh sb="0" eb="2">
      <t>シュヨウ</t>
    </rPh>
    <rPh sb="2" eb="4">
      <t>ヨウト</t>
    </rPh>
    <rPh sb="5" eb="7">
      <t>センタク</t>
    </rPh>
    <phoneticPr fontId="4"/>
  </si>
  <si>
    <t>仕様基準・性能基準併用</t>
    <rPh sb="0" eb="2">
      <t>シヨウ</t>
    </rPh>
    <rPh sb="2" eb="4">
      <t>キジュン</t>
    </rPh>
    <rPh sb="5" eb="7">
      <t>セイノウ</t>
    </rPh>
    <rPh sb="7" eb="9">
      <t>キジュン</t>
    </rPh>
    <rPh sb="9" eb="11">
      <t>ヘイヨウ</t>
    </rPh>
    <phoneticPr fontId="4"/>
  </si>
  <si>
    <t>■確認申請について</t>
    <phoneticPr fontId="4"/>
  </si>
  <si>
    <t>仕様基準・性能基準併用　※共用部の審査も必要(共同住宅、長屋等)</t>
    <rPh sb="0" eb="2">
      <t>シヨウ</t>
    </rPh>
    <rPh sb="2" eb="4">
      <t>キジュン</t>
    </rPh>
    <rPh sb="5" eb="7">
      <t>セイノウ</t>
    </rPh>
    <rPh sb="7" eb="9">
      <t>キジュン</t>
    </rPh>
    <rPh sb="9" eb="11">
      <t>ヘイヨウ</t>
    </rPh>
    <phoneticPr fontId="4"/>
  </si>
  <si>
    <t>性能基準　※共用部の審査も必要(共同住宅、長屋等)</t>
    <rPh sb="0" eb="2">
      <t>セイノウ</t>
    </rPh>
    <rPh sb="2" eb="4">
      <t>キジュン</t>
    </rPh>
    <phoneticPr fontId="4"/>
  </si>
  <si>
    <t>宛名</t>
    <rPh sb="0" eb="2">
      <t>アテナ</t>
    </rPh>
    <phoneticPr fontId="4"/>
  </si>
  <si>
    <t>様</t>
    <rPh sb="0" eb="1">
      <t>サマ</t>
    </rPh>
    <phoneticPr fontId="4"/>
  </si>
  <si>
    <t>御中</t>
    <rPh sb="0" eb="2">
      <t>オンチュウ</t>
    </rPh>
    <phoneticPr fontId="4"/>
  </si>
  <si>
    <t>殿</t>
    <rPh sb="0" eb="1">
      <t>ドノ</t>
    </rPh>
    <phoneticPr fontId="4"/>
  </si>
  <si>
    <t>都道府県（選択）</t>
    <rPh sb="0" eb="4">
      <t>トドウフケン</t>
    </rPh>
    <rPh sb="5" eb="7">
      <t>センタク</t>
    </rPh>
    <phoneticPr fontId="4"/>
  </si>
  <si>
    <t>　　中間検査/１回目</t>
    <rPh sb="2" eb="4">
      <t>チュウカン</t>
    </rPh>
    <rPh sb="4" eb="6">
      <t>ケンサ</t>
    </rPh>
    <rPh sb="8" eb="10">
      <t>カイメ</t>
    </rPh>
    <phoneticPr fontId="4"/>
  </si>
  <si>
    <t>　　中間検査/２回目</t>
    <rPh sb="2" eb="4">
      <t>チュウカン</t>
    </rPh>
    <rPh sb="4" eb="6">
      <t>ケンサ</t>
    </rPh>
    <rPh sb="8" eb="10">
      <t>カイメ</t>
    </rPh>
    <phoneticPr fontId="4"/>
  </si>
  <si>
    <t>　　中間検査/３回目</t>
    <rPh sb="2" eb="4">
      <t>チュウカン</t>
    </rPh>
    <rPh sb="4" eb="6">
      <t>ケンサ</t>
    </rPh>
    <rPh sb="8" eb="10">
      <t>カイメ</t>
    </rPh>
    <phoneticPr fontId="4"/>
  </si>
  <si>
    <t>地上〇〇階建</t>
    <rPh sb="0" eb="2">
      <t>チジョウ</t>
    </rPh>
    <rPh sb="4" eb="6">
      <t>カイダ</t>
    </rPh>
    <phoneticPr fontId="4"/>
  </si>
  <si>
    <t>　追加審査項目が有る場合</t>
    <rPh sb="1" eb="3">
      <t>ツイカ</t>
    </rPh>
    <rPh sb="3" eb="5">
      <t>シンサ</t>
    </rPh>
    <rPh sb="5" eb="7">
      <t>コウモク</t>
    </rPh>
    <rPh sb="8" eb="9">
      <t>ア</t>
    </rPh>
    <rPh sb="10" eb="12">
      <t>バアイ</t>
    </rPh>
    <phoneticPr fontId="4"/>
  </si>
  <si>
    <t>追加審査項目が有る場合</t>
    <phoneticPr fontId="4"/>
  </si>
  <si>
    <t>適合証明（フラット）の審査の有無　/</t>
    <rPh sb="11" eb="13">
      <t>シンサ</t>
    </rPh>
    <rPh sb="14" eb="16">
      <t>ウム</t>
    </rPh>
    <phoneticPr fontId="4"/>
  </si>
  <si>
    <t>★適合証明（フラット）の審査の有無</t>
    <rPh sb="15" eb="17">
      <t>ウム</t>
    </rPh>
    <phoneticPr fontId="4"/>
  </si>
  <si>
    <t>長期に係る技術審査の有無　/　備考</t>
    <rPh sb="3" eb="4">
      <t>カカワ</t>
    </rPh>
    <rPh sb="5" eb="7">
      <t>ギジュツ</t>
    </rPh>
    <rPh sb="7" eb="9">
      <t>シンサ</t>
    </rPh>
    <rPh sb="10" eb="12">
      <t>ウム</t>
    </rPh>
    <rPh sb="15" eb="17">
      <t>ビコウ</t>
    </rPh>
    <phoneticPr fontId="4"/>
  </si>
  <si>
    <t>低炭素に係る技術審査の有無　/　備考</t>
    <rPh sb="0" eb="3">
      <t>テイタンソ</t>
    </rPh>
    <rPh sb="4" eb="5">
      <t>カカワ</t>
    </rPh>
    <rPh sb="6" eb="8">
      <t>ギジュツ</t>
    </rPh>
    <rPh sb="8" eb="10">
      <t>シンサ</t>
    </rPh>
    <rPh sb="11" eb="13">
      <t>ウム</t>
    </rPh>
    <rPh sb="16" eb="18">
      <t>ビコウ</t>
    </rPh>
    <phoneticPr fontId="4"/>
  </si>
  <si>
    <t>木造</t>
    <rPh sb="0" eb="2">
      <t>モクゾウ</t>
    </rPh>
    <phoneticPr fontId="4"/>
  </si>
  <si>
    <t>八重洲支店</t>
    <rPh sb="0" eb="3">
      <t>ヤエス</t>
    </rPh>
    <rPh sb="3" eb="5">
      <t>シテン</t>
    </rPh>
    <phoneticPr fontId="4"/>
  </si>
  <si>
    <t>株式会社 J 建築検査センター　八重洲支店</t>
    <rPh sb="0" eb="4">
      <t>カブ</t>
    </rPh>
    <rPh sb="7" eb="9">
      <t>ケンチク</t>
    </rPh>
    <rPh sb="9" eb="11">
      <t>ケンサ</t>
    </rPh>
    <rPh sb="16" eb="19">
      <t>ヤエス</t>
    </rPh>
    <rPh sb="19" eb="21">
      <t>シテン</t>
    </rPh>
    <phoneticPr fontId="4"/>
  </si>
  <si>
    <t>TEL:03-5202-7577　FAX:03-5202-2277</t>
    <phoneticPr fontId="4"/>
  </si>
  <si>
    <t>建物診断部</t>
    <phoneticPr fontId="4"/>
  </si>
  <si>
    <t>株式会社 J 建築検査センター　建物診断部</t>
    <rPh sb="0" eb="4">
      <t>カブ</t>
    </rPh>
    <rPh sb="7" eb="9">
      <t>ケンチク</t>
    </rPh>
    <rPh sb="9" eb="11">
      <t>ケンサ</t>
    </rPh>
    <rPh sb="16" eb="18">
      <t>タテモノ</t>
    </rPh>
    <rPh sb="18" eb="21">
      <t>シンダンブ</t>
    </rPh>
    <phoneticPr fontId="4"/>
  </si>
  <si>
    <t>TEL: 03-6690-7209 FAX:03-5464-7779</t>
    <phoneticPr fontId="4"/>
  </si>
  <si>
    <t>TEL: 03-6696-7178 FAX:03-5464-7779</t>
    <phoneticPr fontId="4"/>
  </si>
  <si>
    <t>0-100㎡以内(戸建て/西日本料金)</t>
    <rPh sb="9" eb="11">
      <t>コダ</t>
    </rPh>
    <rPh sb="13" eb="16">
      <t>ニシニホン</t>
    </rPh>
    <rPh sb="16" eb="18">
      <t>リョウキン</t>
    </rPh>
    <phoneticPr fontId="4"/>
  </si>
  <si>
    <t>100-200㎡以内(戸建て/西日本料金)</t>
    <phoneticPr fontId="4"/>
  </si>
  <si>
    <t>〒104-0028　東京都中央区八重洲2丁目10-10</t>
    <phoneticPr fontId="4"/>
  </si>
  <si>
    <t>株式会社 J 建築検査センター　住宅性能評価部</t>
    <rPh sb="0" eb="4">
      <t>カブ</t>
    </rPh>
    <rPh sb="7" eb="9">
      <t>ケンチク</t>
    </rPh>
    <rPh sb="9" eb="11">
      <t>ケンサ</t>
    </rPh>
    <rPh sb="16" eb="18">
      <t>ジュウタク</t>
    </rPh>
    <rPh sb="18" eb="20">
      <t>セイノウ</t>
    </rPh>
    <rPh sb="20" eb="23">
      <t>ヒョウカブ</t>
    </rPh>
    <phoneticPr fontId="4"/>
  </si>
  <si>
    <t>住宅性能評価部</t>
    <phoneticPr fontId="4"/>
  </si>
  <si>
    <t>※地域内一律料金　市区郡以下から右に記載</t>
    <rPh sb="1" eb="3">
      <t>チイキ</t>
    </rPh>
    <rPh sb="3" eb="4">
      <t>ナイ</t>
    </rPh>
    <rPh sb="4" eb="6">
      <t>イチリツ</t>
    </rPh>
    <rPh sb="6" eb="8">
      <t>リョウキン</t>
    </rPh>
    <rPh sb="9" eb="10">
      <t>シ</t>
    </rPh>
    <rPh sb="10" eb="11">
      <t>ク</t>
    </rPh>
    <rPh sb="11" eb="12">
      <t>グン</t>
    </rPh>
    <rPh sb="12" eb="14">
      <t>イカ</t>
    </rPh>
    <rPh sb="16" eb="17">
      <t>ミギ</t>
    </rPh>
    <rPh sb="18" eb="20">
      <t>キサイ</t>
    </rPh>
    <phoneticPr fontId="4"/>
  </si>
  <si>
    <t>100-300㎡未満</t>
  </si>
  <si>
    <t>確認面積</t>
    <rPh sb="0" eb="2">
      <t>カクニン</t>
    </rPh>
    <rPh sb="2" eb="4">
      <t>メンセキ</t>
    </rPh>
    <phoneticPr fontId="4"/>
  </si>
  <si>
    <t>省エネ面積</t>
    <rPh sb="0" eb="1">
      <t>ショウ</t>
    </rPh>
    <rPh sb="3" eb="5">
      <t>メンセキ</t>
    </rPh>
    <phoneticPr fontId="4"/>
  </si>
  <si>
    <t>面積変換</t>
    <rPh sb="0" eb="2">
      <t>メンセキ</t>
    </rPh>
    <rPh sb="2" eb="4">
      <t>ヘンカン</t>
    </rPh>
    <phoneticPr fontId="4"/>
  </si>
  <si>
    <t>100-200㎡以内(戸建て/西日本料金)</t>
  </si>
  <si>
    <t>10,000-15,000㎡未満</t>
  </si>
  <si>
    <t>15,000-20,000㎡未満</t>
  </si>
  <si>
    <t>50,000-700,000㎡未満</t>
  </si>
  <si>
    <t>70,000-100,000㎡未満</t>
  </si>
  <si>
    <t>200,000㎡～</t>
  </si>
  <si>
    <t>※省エネの申請がモデル法か標準法か不明でしたので両方の見積提示致します。申請はどちらか１方となります。（上記+消費税）</t>
  </si>
  <si>
    <t>10,000-15,000㎡以内</t>
    <phoneticPr fontId="4"/>
  </si>
  <si>
    <t>15,000-20,000㎡以内</t>
    <phoneticPr fontId="4"/>
  </si>
  <si>
    <t>50,000-70,000㎡以内</t>
    <phoneticPr fontId="4"/>
  </si>
  <si>
    <t>70,000-100,000㎡以内</t>
    <phoneticPr fontId="4"/>
  </si>
  <si>
    <t>200-300㎡以内(戸建て/西日本料金)</t>
    <phoneticPr fontId="4"/>
  </si>
  <si>
    <t>300-500㎡以内(戸建て/西日本料金)</t>
    <phoneticPr fontId="4"/>
  </si>
  <si>
    <t>4.特約　確認および検査手数料30％off（加算手数料は通常通り）</t>
    <rPh sb="2" eb="4">
      <t>トクヤク</t>
    </rPh>
    <rPh sb="5" eb="7">
      <t>カクニン</t>
    </rPh>
    <rPh sb="10" eb="12">
      <t>ケンサ</t>
    </rPh>
    <rPh sb="12" eb="15">
      <t>テスウリョウ</t>
    </rPh>
    <phoneticPr fontId="16"/>
  </si>
  <si>
    <t>5.大和リース　特約　確認、検査、加算手数料30％off</t>
    <rPh sb="2" eb="4">
      <t>ダイワ</t>
    </rPh>
    <rPh sb="8" eb="10">
      <t>トクヤク</t>
    </rPh>
    <rPh sb="11" eb="13">
      <t>カクニン</t>
    </rPh>
    <rPh sb="14" eb="16">
      <t>ケンサ</t>
    </rPh>
    <rPh sb="17" eb="19">
      <t>カサン</t>
    </rPh>
    <rPh sb="19" eb="22">
      <t>テスウリョウ</t>
    </rPh>
    <phoneticPr fontId="16"/>
  </si>
  <si>
    <t>※</t>
    <phoneticPr fontId="4"/>
  </si>
  <si>
    <t>市町村以下　（左記住所は入力不要）</t>
    <rPh sb="0" eb="3">
      <t>シチョウソン</t>
    </rPh>
    <rPh sb="3" eb="5">
      <t>イカ</t>
    </rPh>
    <rPh sb="7" eb="9">
      <t>サキ</t>
    </rPh>
    <rPh sb="9" eb="11">
      <t>ジュウショ</t>
    </rPh>
    <rPh sb="12" eb="14">
      <t>ニュウリョク</t>
    </rPh>
    <rPh sb="14" eb="16">
      <t>フヨウ</t>
    </rPh>
    <phoneticPr fontId="4"/>
  </si>
  <si>
    <t>申請延床面積（選択）</t>
    <rPh sb="0" eb="2">
      <t>シンセイ</t>
    </rPh>
    <rPh sb="2" eb="3">
      <t>ノベ</t>
    </rPh>
    <rPh sb="3" eb="4">
      <t>ユカ</t>
    </rPh>
    <rPh sb="4" eb="6">
      <t>メンセキ</t>
    </rPh>
    <rPh sb="7" eb="9">
      <t>センタク</t>
    </rPh>
    <phoneticPr fontId="4"/>
  </si>
  <si>
    <t>判定方法（選択）</t>
    <rPh sb="5" eb="7">
      <t>センタク</t>
    </rPh>
    <phoneticPr fontId="4"/>
  </si>
  <si>
    <t>延床面積（選択）</t>
    <rPh sb="0" eb="2">
      <t>ノベユカ</t>
    </rPh>
    <rPh sb="2" eb="4">
      <t>メンセキ</t>
    </rPh>
    <rPh sb="5" eb="7">
      <t>センタク</t>
    </rPh>
    <phoneticPr fontId="4"/>
  </si>
  <si>
    <t>◆</t>
    <phoneticPr fontId="4"/>
  </si>
  <si>
    <t>備考（選択項目不明、連絡事項など）</t>
    <rPh sb="0" eb="2">
      <t>ビコウ</t>
    </rPh>
    <rPh sb="3" eb="5">
      <t>センタク</t>
    </rPh>
    <rPh sb="5" eb="7">
      <t>コウモク</t>
    </rPh>
    <rPh sb="7" eb="9">
      <t>フメイ</t>
    </rPh>
    <rPh sb="10" eb="12">
      <t>レンラク</t>
    </rPh>
    <rPh sb="12" eb="14">
      <t>ジコウ</t>
    </rPh>
    <phoneticPr fontId="4"/>
  </si>
  <si>
    <t>備考（選択項目不明、連絡事項など）</t>
    <phoneticPr fontId="4"/>
  </si>
  <si>
    <t>地下〇〇階（地下無しは空欄）</t>
    <rPh sb="0" eb="2">
      <t>チカ</t>
    </rPh>
    <rPh sb="4" eb="5">
      <t>カイ</t>
    </rPh>
    <rPh sb="6" eb="8">
      <t>チカ</t>
    </rPh>
    <rPh sb="8" eb="9">
      <t>ナ</t>
    </rPh>
    <rPh sb="11" eb="13">
      <t>クウラン</t>
    </rPh>
    <phoneticPr fontId="4"/>
  </si>
  <si>
    <t>構造（選択）</t>
    <rPh sb="0" eb="2">
      <t>コウゾウ</t>
    </rPh>
    <rPh sb="3" eb="5">
      <t>センタク</t>
    </rPh>
    <phoneticPr fontId="4"/>
  </si>
  <si>
    <t>完了検査項目（選択）</t>
    <rPh sb="0" eb="2">
      <t>カンリョウ</t>
    </rPh>
    <rPh sb="2" eb="4">
      <t>ケンサ</t>
    </rPh>
    <rPh sb="4" eb="6">
      <t>コウモク</t>
    </rPh>
    <phoneticPr fontId="4"/>
  </si>
  <si>
    <t>【建築物】　建築物エネルギー消費性能適合性判定業務　２棟目【課税対象】</t>
    <rPh sb="1" eb="4">
      <t>ケンチクブツ</t>
    </rPh>
    <rPh sb="27" eb="29">
      <t>トウメ</t>
    </rPh>
    <rPh sb="30" eb="32">
      <t>カゼイ</t>
    </rPh>
    <rPh sb="32" eb="34">
      <t>タイショウ</t>
    </rPh>
    <phoneticPr fontId="4"/>
  </si>
  <si>
    <t>【建築物】　建築物エネルギー消費性能適合性判定業務　３棟目【課税対象】</t>
    <rPh sb="1" eb="4">
      <t>ケンチクブツ</t>
    </rPh>
    <rPh sb="27" eb="29">
      <t>トウメ</t>
    </rPh>
    <rPh sb="30" eb="32">
      <t>カゼイ</t>
    </rPh>
    <rPh sb="32" eb="34">
      <t>タイショウ</t>
    </rPh>
    <phoneticPr fontId="4"/>
  </si>
  <si>
    <t>共同住宅の場合　※共用部の審査は不要</t>
    <rPh sb="0" eb="2">
      <t>キョウドウ</t>
    </rPh>
    <rPh sb="2" eb="4">
      <t>ジュウタク</t>
    </rPh>
    <rPh sb="5" eb="7">
      <t>バアイ</t>
    </rPh>
    <rPh sb="9" eb="12">
      <t>キョウヨウブ</t>
    </rPh>
    <rPh sb="16" eb="18">
      <t>フヨウ</t>
    </rPh>
    <phoneticPr fontId="4"/>
  </si>
  <si>
    <t>共同住宅の場合　※共同住宅、長屋等で共用部の審査も必要</t>
    <rPh sb="0" eb="2">
      <t>キョウドウ</t>
    </rPh>
    <rPh sb="2" eb="4">
      <t>ジュウタク</t>
    </rPh>
    <rPh sb="5" eb="7">
      <t>バアイ</t>
    </rPh>
    <rPh sb="9" eb="11">
      <t>キョウドウ</t>
    </rPh>
    <rPh sb="11" eb="13">
      <t>ジュウタク</t>
    </rPh>
    <rPh sb="14" eb="16">
      <t>ナガヤ</t>
    </rPh>
    <rPh sb="16" eb="17">
      <t>ナド</t>
    </rPh>
    <phoneticPr fontId="4"/>
  </si>
  <si>
    <t>※注意事項</t>
    <rPh sb="1" eb="3">
      <t>チュウイ</t>
    </rPh>
    <rPh sb="3" eb="5">
      <t>ジコウ</t>
    </rPh>
    <phoneticPr fontId="4"/>
  </si>
  <si>
    <t>設計住宅性能評価と長期使用構造等確認の併願　30戸未満(一律)</t>
    <phoneticPr fontId="4"/>
  </si>
  <si>
    <t>非住宅系</t>
    <rPh sb="0" eb="4">
      <t>ヒジュウタクケイ</t>
    </rPh>
    <phoneticPr fontId="4"/>
  </si>
  <si>
    <t>住宅系　</t>
    <rPh sb="0" eb="3">
      <t>ジュウタクケイ</t>
    </rPh>
    <phoneticPr fontId="4"/>
  </si>
  <si>
    <t>住宅系/非住宅系（自動選択）</t>
    <rPh sb="2" eb="3">
      <t>ケイ</t>
    </rPh>
    <rPh sb="7" eb="8">
      <t>ケイ</t>
    </rPh>
    <rPh sb="9" eb="11">
      <t>ジドウ</t>
    </rPh>
    <rPh sb="11" eb="13">
      <t>センタク</t>
    </rPh>
    <phoneticPr fontId="4"/>
  </si>
  <si>
    <t>※住宅基準による</t>
    <phoneticPr fontId="4"/>
  </si>
  <si>
    <t>★事務所モデル</t>
  </si>
  <si>
    <t>★工場モデル</t>
  </si>
  <si>
    <t>★集会所モデル</t>
  </si>
  <si>
    <t>★学校モデル/講堂モデル</t>
    <rPh sb="7" eb="9">
      <t>コウドウ</t>
    </rPh>
    <phoneticPr fontId="4"/>
  </si>
  <si>
    <t>★学校モデル</t>
  </si>
  <si>
    <t>★幼稚園モデル/講堂モデル</t>
  </si>
  <si>
    <t>★総合病院モデル</t>
  </si>
  <si>
    <t>★クリニックモデル</t>
  </si>
  <si>
    <t>★福祉施設モデル</t>
  </si>
  <si>
    <t>★ビジネスホテルモデル/シティホテルモデル</t>
    <phoneticPr fontId="4"/>
  </si>
  <si>
    <t>★養殖場堆肥舎を除き工場モデル</t>
    <phoneticPr fontId="4"/>
  </si>
  <si>
    <t>★大学モデル/講堂モデル</t>
    <rPh sb="1" eb="3">
      <t>ダイガク</t>
    </rPh>
    <rPh sb="7" eb="9">
      <t>コウドウ</t>
    </rPh>
    <phoneticPr fontId="4"/>
  </si>
  <si>
    <t>★小規模物販モデル/集会所モデル</t>
    <phoneticPr fontId="4"/>
  </si>
  <si>
    <t>★小規模物販モデル</t>
    <phoneticPr fontId="4"/>
  </si>
  <si>
    <t>★大規模物販モデル/小規模物販モデル</t>
    <phoneticPr fontId="4"/>
  </si>
  <si>
    <t>★飲食店モデル</t>
    <phoneticPr fontId="4"/>
  </si>
  <si>
    <t>★ビジネスホテルモデル/集会所モデル/小規模物販モデル</t>
    <rPh sb="19" eb="22">
      <t>ショウキボ</t>
    </rPh>
    <rPh sb="22" eb="24">
      <t>ブッパン</t>
    </rPh>
    <phoneticPr fontId="4"/>
  </si>
  <si>
    <t>非住宅</t>
    <rPh sb="0" eb="1">
      <t>ヒ</t>
    </rPh>
    <rPh sb="1" eb="3">
      <t>ジュウタク</t>
    </rPh>
    <phoneticPr fontId="4"/>
  </si>
  <si>
    <t>★1モデル</t>
  </si>
  <si>
    <t>★2モデル</t>
  </si>
  <si>
    <t>★3モデル</t>
  </si>
  <si>
    <t>１モデル</t>
    <phoneticPr fontId="4"/>
  </si>
  <si>
    <t>2モデル</t>
    <phoneticPr fontId="4"/>
  </si>
  <si>
    <t>3モデル</t>
    <phoneticPr fontId="4"/>
  </si>
  <si>
    <t>モデル建物法か標準入力法かまだ決まっていない</t>
    <rPh sb="3" eb="5">
      <t>タテモノ</t>
    </rPh>
    <rPh sb="5" eb="6">
      <t>ホウ</t>
    </rPh>
    <rPh sb="7" eb="9">
      <t>ヒョウジュン</t>
    </rPh>
    <rPh sb="9" eb="11">
      <t>ニュウリョク</t>
    </rPh>
    <rPh sb="11" eb="12">
      <t>ホウ</t>
    </rPh>
    <rPh sb="15" eb="16">
      <t>キ</t>
    </rPh>
    <phoneticPr fontId="4"/>
  </si>
  <si>
    <t>BELS　有・無</t>
    <rPh sb="5" eb="6">
      <t>タモツ</t>
    </rPh>
    <rPh sb="7" eb="8">
      <t>ム</t>
    </rPh>
    <phoneticPr fontId="4"/>
  </si>
  <si>
    <t>省エネ　住宅・非住宅</t>
    <rPh sb="0" eb="1">
      <t>ショウ</t>
    </rPh>
    <rPh sb="4" eb="6">
      <t>ジュウタク</t>
    </rPh>
    <rPh sb="7" eb="10">
      <t>ヒジュウタク</t>
    </rPh>
    <phoneticPr fontId="4"/>
  </si>
  <si>
    <t>省エネ◎◎モデル</t>
    <rPh sb="0" eb="1">
      <t>ショウ</t>
    </rPh>
    <phoneticPr fontId="4"/>
  </si>
  <si>
    <t>省エネ　1.2.3モデル</t>
    <rPh sb="0" eb="1">
      <t>ショウ</t>
    </rPh>
    <phoneticPr fontId="4"/>
  </si>
  <si>
    <t>省エネ　自動計算</t>
    <rPh sb="0" eb="1">
      <t>ショウ</t>
    </rPh>
    <rPh sb="4" eb="6">
      <t>ジドウ</t>
    </rPh>
    <rPh sb="6" eb="8">
      <t>ケイサン</t>
    </rPh>
    <phoneticPr fontId="4"/>
  </si>
  <si>
    <t>住宅系</t>
    <rPh sb="0" eb="2">
      <t>ジュウタク</t>
    </rPh>
    <rPh sb="2" eb="3">
      <t>ケイ</t>
    </rPh>
    <phoneticPr fontId="4"/>
  </si>
  <si>
    <t>150-200㎡以内</t>
    <phoneticPr fontId="4"/>
  </si>
  <si>
    <t>200-300㎡以内</t>
    <phoneticPr fontId="4"/>
  </si>
  <si>
    <t>省エネ住宅　自動計算</t>
    <rPh sb="0" eb="1">
      <t>ショウ</t>
    </rPh>
    <rPh sb="3" eb="5">
      <t>ジュウタク</t>
    </rPh>
    <rPh sb="6" eb="8">
      <t>ジドウ</t>
    </rPh>
    <rPh sb="8" eb="10">
      <t>ケイサン</t>
    </rPh>
    <phoneticPr fontId="4"/>
  </si>
  <si>
    <t>白色は手入力</t>
    <rPh sb="0" eb="1">
      <t>シロ</t>
    </rPh>
    <rPh sb="1" eb="2">
      <t>イロ</t>
    </rPh>
    <rPh sb="3" eb="6">
      <t>テニュウリョク</t>
    </rPh>
    <phoneticPr fontId="4"/>
  </si>
  <si>
    <t>桃色は選択項目（プルダウン）</t>
    <rPh sb="0" eb="2">
      <t>モモイロ</t>
    </rPh>
    <rPh sb="1" eb="2">
      <t>イロ</t>
    </rPh>
    <rPh sb="3" eb="5">
      <t>センタク</t>
    </rPh>
    <rPh sb="5" eb="7">
      <t>コウモク</t>
    </rPh>
    <phoneticPr fontId="4"/>
  </si>
  <si>
    <t>中間検査が３回以上ある場合は非表示になっている行を再表示で開く</t>
    <rPh sb="6" eb="7">
      <t>カイ</t>
    </rPh>
    <rPh sb="7" eb="9">
      <t>イジョウ</t>
    </rPh>
    <rPh sb="11" eb="13">
      <t>バアイ</t>
    </rPh>
    <rPh sb="14" eb="17">
      <t>ヒヒョウジ</t>
    </rPh>
    <rPh sb="23" eb="24">
      <t>ギョウ</t>
    </rPh>
    <rPh sb="25" eb="28">
      <t>サイヒョウジ</t>
    </rPh>
    <rPh sb="29" eb="30">
      <t>ヒラ</t>
    </rPh>
    <phoneticPr fontId="4"/>
  </si>
  <si>
    <t>追加審査項目　選択｢１｣</t>
  </si>
  <si>
    <t>追加審査項目　選択｢3｣</t>
  </si>
  <si>
    <t>用途（自動選択/選択）</t>
    <rPh sb="0" eb="2">
      <t>ヨウト</t>
    </rPh>
    <rPh sb="3" eb="5">
      <t>ジドウ</t>
    </rPh>
    <rPh sb="5" eb="7">
      <t>センタク</t>
    </rPh>
    <rPh sb="8" eb="10">
      <t>センタク</t>
    </rPh>
    <phoneticPr fontId="4"/>
  </si>
  <si>
    <t>階数</t>
    <rPh sb="0" eb="2">
      <t>カイスウ</t>
    </rPh>
    <phoneticPr fontId="4"/>
  </si>
  <si>
    <t>２棟目</t>
    <rPh sb="1" eb="2">
      <t>トウ</t>
    </rPh>
    <rPh sb="2" eb="3">
      <t>メ</t>
    </rPh>
    <phoneticPr fontId="4"/>
  </si>
  <si>
    <t>住宅性能評価</t>
    <rPh sb="0" eb="2">
      <t>ジュウタク</t>
    </rPh>
    <rPh sb="2" eb="4">
      <t>セイノウ</t>
    </rPh>
    <rPh sb="4" eb="6">
      <t>ヒョウカ</t>
    </rPh>
    <phoneticPr fontId="4"/>
  </si>
  <si>
    <t>1-1</t>
    <phoneticPr fontId="4"/>
  </si>
  <si>
    <t>1-2</t>
  </si>
  <si>
    <t>1-3</t>
  </si>
  <si>
    <t>1-4</t>
  </si>
  <si>
    <t>1-5</t>
  </si>
  <si>
    <t>1-6</t>
  </si>
  <si>
    <t>1-7</t>
  </si>
  <si>
    <t>2-1</t>
    <phoneticPr fontId="4"/>
  </si>
  <si>
    <t>2-2</t>
  </si>
  <si>
    <t>2-3</t>
  </si>
  <si>
    <t>2-4</t>
  </si>
  <si>
    <t>2-5</t>
  </si>
  <si>
    <t>2-6</t>
  </si>
  <si>
    <t>3-1</t>
    <phoneticPr fontId="4"/>
  </si>
  <si>
    <t>4-1</t>
    <phoneticPr fontId="4"/>
  </si>
  <si>
    <t>5-1</t>
    <phoneticPr fontId="4"/>
  </si>
  <si>
    <t>5-2</t>
    <phoneticPr fontId="4"/>
  </si>
  <si>
    <t>5-2-1</t>
    <phoneticPr fontId="4"/>
  </si>
  <si>
    <t>6-1</t>
    <phoneticPr fontId="4"/>
  </si>
  <si>
    <t>7-1</t>
    <phoneticPr fontId="4"/>
  </si>
  <si>
    <t>7-2</t>
    <phoneticPr fontId="4"/>
  </si>
  <si>
    <t>8-1</t>
    <phoneticPr fontId="4"/>
  </si>
  <si>
    <t>9-1</t>
    <phoneticPr fontId="4"/>
  </si>
  <si>
    <t>9-2</t>
    <phoneticPr fontId="4"/>
  </si>
  <si>
    <t>10-1</t>
    <phoneticPr fontId="4"/>
  </si>
  <si>
    <t>4-2</t>
    <phoneticPr fontId="4"/>
  </si>
  <si>
    <t>4-3</t>
    <phoneticPr fontId="4"/>
  </si>
  <si>
    <t>4-4</t>
    <phoneticPr fontId="4"/>
  </si>
  <si>
    <t>5-1-1</t>
    <phoneticPr fontId="4"/>
  </si>
  <si>
    <t>6-2</t>
    <phoneticPr fontId="4"/>
  </si>
  <si>
    <t>8-2</t>
    <phoneticPr fontId="4"/>
  </si>
  <si>
    <t>8-3</t>
    <phoneticPr fontId="4"/>
  </si>
  <si>
    <t>8-4</t>
    <phoneticPr fontId="4"/>
  </si>
  <si>
    <t>1．構造の安定に関すること</t>
    <phoneticPr fontId="4"/>
  </si>
  <si>
    <t>2．火災時の安全に関すること</t>
    <phoneticPr fontId="4"/>
  </si>
  <si>
    <t>3．劣化の軽減に関すること</t>
    <phoneticPr fontId="4"/>
  </si>
  <si>
    <t>4．維持管理・更新への配慮に関すること</t>
    <phoneticPr fontId="4"/>
  </si>
  <si>
    <t>5．温熱環境・エネルギ-消費量に関すること</t>
    <phoneticPr fontId="4"/>
  </si>
  <si>
    <t>6．空気環境に関すること</t>
    <phoneticPr fontId="4"/>
  </si>
  <si>
    <t>7．光・視環境に関すること</t>
    <phoneticPr fontId="4"/>
  </si>
  <si>
    <t>9．高齢者等への配慮に関すること</t>
    <phoneticPr fontId="4"/>
  </si>
  <si>
    <t>10．防犯に関すること</t>
    <phoneticPr fontId="4"/>
  </si>
  <si>
    <t>建設住宅性能評価　/　追加審査項目</t>
    <rPh sb="0" eb="2">
      <t>ケンセツ</t>
    </rPh>
    <phoneticPr fontId="4"/>
  </si>
  <si>
    <t>設計性能評価</t>
    <rPh sb="0" eb="2">
      <t>セッケイ</t>
    </rPh>
    <rPh sb="2" eb="4">
      <t>セイノウ</t>
    </rPh>
    <rPh sb="4" eb="6">
      <t>ヒョウカ</t>
    </rPh>
    <phoneticPr fontId="4"/>
  </si>
  <si>
    <t>空気環境</t>
    <rPh sb="0" eb="2">
      <t>クウキ</t>
    </rPh>
    <rPh sb="2" eb="4">
      <t>カンキョウ</t>
    </rPh>
    <phoneticPr fontId="4"/>
  </si>
  <si>
    <t>併願</t>
    <rPh sb="0" eb="2">
      <t>ヘイガン</t>
    </rPh>
    <phoneticPr fontId="4"/>
  </si>
  <si>
    <t>建設住宅</t>
    <rPh sb="0" eb="2">
      <t>ケンセツ</t>
    </rPh>
    <rPh sb="2" eb="4">
      <t>ジュウタク</t>
    </rPh>
    <phoneticPr fontId="4"/>
  </si>
  <si>
    <t>8-1.8-2</t>
    <phoneticPr fontId="4"/>
  </si>
  <si>
    <t>長期</t>
    <rPh sb="0" eb="2">
      <t>チョウキ</t>
    </rPh>
    <phoneticPr fontId="4"/>
  </si>
  <si>
    <t>低炭素</t>
    <rPh sb="0" eb="3">
      <t>テイタンソ</t>
    </rPh>
    <phoneticPr fontId="4"/>
  </si>
  <si>
    <t>空気環境計測もしくは限界耐力計算</t>
    <rPh sb="0" eb="1">
      <t>クウキ</t>
    </rPh>
    <rPh sb="1" eb="3">
      <t>カンキョウ</t>
    </rPh>
    <rPh sb="3" eb="5">
      <t>ケイソク</t>
    </rPh>
    <phoneticPr fontId="4"/>
  </si>
  <si>
    <t>仕様基準</t>
    <rPh sb="0" eb="2">
      <t>シヨウ</t>
    </rPh>
    <rPh sb="2" eb="4">
      <t>キジュン</t>
    </rPh>
    <phoneticPr fontId="4"/>
  </si>
  <si>
    <t>2-7</t>
    <phoneticPr fontId="4"/>
  </si>
  <si>
    <t>①評価項目一覧　必須以外は加算料金</t>
    <rPh sb="5" eb="7">
      <t>イチラン</t>
    </rPh>
    <rPh sb="8" eb="10">
      <t>ヒッス</t>
    </rPh>
    <rPh sb="10" eb="12">
      <t>イガイ</t>
    </rPh>
    <rPh sb="13" eb="15">
      <t>カサン</t>
    </rPh>
    <rPh sb="15" eb="17">
      <t>リョウキン</t>
    </rPh>
    <phoneticPr fontId="4"/>
  </si>
  <si>
    <t>②その他追加項目（加算料金）</t>
    <rPh sb="3" eb="4">
      <t>タ</t>
    </rPh>
    <rPh sb="4" eb="6">
      <t>ツイカ</t>
    </rPh>
    <rPh sb="6" eb="8">
      <t>コウモク</t>
    </rPh>
    <rPh sb="9" eb="11">
      <t>カサン</t>
    </rPh>
    <rPh sb="11" eb="13">
      <t>リョウキン</t>
    </rPh>
    <phoneticPr fontId="4"/>
  </si>
  <si>
    <r>
      <rPr>
        <b/>
        <sz val="10"/>
        <color rgb="FFC00000"/>
        <rFont val="ＭＳ Ｐゴシック"/>
        <family val="3"/>
        <charset val="128"/>
      </rPr>
      <t>☆</t>
    </r>
    <r>
      <rPr>
        <b/>
        <sz val="10"/>
        <rFont val="ＭＳ Ｐゴシック"/>
        <family val="3"/>
        <charset val="128"/>
      </rPr>
      <t>住戸数「</t>
    </r>
    <r>
      <rPr>
        <b/>
        <sz val="10"/>
        <color rgb="FFC00000"/>
        <rFont val="ＭＳ Ｐゴシック"/>
        <family val="3"/>
        <charset val="128"/>
      </rPr>
      <t>下記以外は空白」</t>
    </r>
    <r>
      <rPr>
        <b/>
        <sz val="10"/>
        <rFont val="ＭＳ Ｐゴシック"/>
        <family val="3"/>
        <charset val="128"/>
      </rPr>
      <t xml:space="preserve">
（共同住宅･長屋･寄宿舎･下宿の場合）</t>
    </r>
    <rPh sb="1" eb="3">
      <t>ジュウコ</t>
    </rPh>
    <rPh sb="3" eb="4">
      <t>スウ</t>
    </rPh>
    <rPh sb="5" eb="7">
      <t>カキ</t>
    </rPh>
    <rPh sb="7" eb="9">
      <t>イガイ</t>
    </rPh>
    <rPh sb="10" eb="12">
      <t>クウハク</t>
    </rPh>
    <rPh sb="23" eb="26">
      <t>キシュクシャ</t>
    </rPh>
    <rPh sb="27" eb="29">
      <t>ゲシュク</t>
    </rPh>
    <phoneticPr fontId="4"/>
  </si>
  <si>
    <t>8. 音環境に関すること</t>
    <phoneticPr fontId="4"/>
  </si>
  <si>
    <t>用途/判定方法/面積</t>
    <rPh sb="0" eb="2">
      <t>ヨウト</t>
    </rPh>
    <rPh sb="3" eb="5">
      <t>ハンテイ</t>
    </rPh>
    <rPh sb="5" eb="7">
      <t>ホウホウ</t>
    </rPh>
    <rPh sb="8" eb="10">
      <t>メンセキ</t>
    </rPh>
    <phoneticPr fontId="4"/>
  </si>
  <si>
    <t>備考(選択項目不明、2棟目/複合建築物の場合、連絡事項など）</t>
    <rPh sb="0" eb="2">
      <t>ビコウ</t>
    </rPh>
    <rPh sb="3" eb="5">
      <t>センタク</t>
    </rPh>
    <rPh sb="5" eb="7">
      <t>コウモク</t>
    </rPh>
    <rPh sb="7" eb="9">
      <t>フメイ</t>
    </rPh>
    <rPh sb="11" eb="13">
      <t>トウメ</t>
    </rPh>
    <rPh sb="14" eb="16">
      <t>フクゴウ</t>
    </rPh>
    <rPh sb="16" eb="19">
      <t>ケンチクブツ</t>
    </rPh>
    <rPh sb="20" eb="22">
      <t>バアイ</t>
    </rPh>
    <rPh sb="23" eb="25">
      <t>レンラク</t>
    </rPh>
    <rPh sb="25" eb="27">
      <t>ジコウ</t>
    </rPh>
    <phoneticPr fontId="4"/>
  </si>
  <si>
    <t>※エラーの原因。戸建て、共同住宅等（新築）戸数などの入力ミス</t>
    <rPh sb="5" eb="7">
      <t>ゲンイン</t>
    </rPh>
    <rPh sb="8" eb="10">
      <t>コダ</t>
    </rPh>
    <rPh sb="12" eb="14">
      <t>キョウドウ</t>
    </rPh>
    <rPh sb="14" eb="16">
      <t>ジュウタク</t>
    </rPh>
    <rPh sb="16" eb="17">
      <t>ナド</t>
    </rPh>
    <rPh sb="18" eb="20">
      <t>シンチク</t>
    </rPh>
    <rPh sb="21" eb="23">
      <t>コスウ</t>
    </rPh>
    <rPh sb="26" eb="28">
      <t>ニュウリョク</t>
    </rPh>
    <phoneticPr fontId="4"/>
  </si>
  <si>
    <t>BELS共用部</t>
    <rPh sb="4" eb="7">
      <t>キョウヨウブ</t>
    </rPh>
    <phoneticPr fontId="4"/>
  </si>
  <si>
    <t>入力必須</t>
    <rPh sb="0" eb="2">
      <t>ニュウリョク</t>
    </rPh>
    <rPh sb="2" eb="4">
      <t>ヒッスウ</t>
    </rPh>
    <phoneticPr fontId="4"/>
  </si>
  <si>
    <t>担当希望支店（選択）</t>
    <rPh sb="0" eb="2">
      <t>タントウ</t>
    </rPh>
    <rPh sb="2" eb="4">
      <t>キボウ</t>
    </rPh>
    <rPh sb="4" eb="6">
      <t>シテン</t>
    </rPh>
    <rPh sb="7" eb="9">
      <t>センタク</t>
    </rPh>
    <phoneticPr fontId="4"/>
  </si>
  <si>
    <t>見積書宛先（会社名等）　/　敬称（選択）</t>
    <rPh sb="0" eb="2">
      <t>ミツモリ</t>
    </rPh>
    <rPh sb="2" eb="3">
      <t>ショ</t>
    </rPh>
    <rPh sb="3" eb="5">
      <t>アテサキ</t>
    </rPh>
    <rPh sb="6" eb="9">
      <t>カイシャメイ</t>
    </rPh>
    <rPh sb="9" eb="10">
      <t>ナド</t>
    </rPh>
    <rPh sb="14" eb="16">
      <t>ケイショウ</t>
    </rPh>
    <rPh sb="17" eb="19">
      <t>センタク</t>
    </rPh>
    <phoneticPr fontId="4"/>
  </si>
  <si>
    <t>物件名</t>
    <rPh sb="0" eb="2">
      <t>ブッケン</t>
    </rPh>
    <rPh sb="2" eb="3">
      <t>メイ</t>
    </rPh>
    <phoneticPr fontId="4"/>
  </si>
  <si>
    <t>計画地名</t>
    <rPh sb="0" eb="2">
      <t>ケイカク</t>
    </rPh>
    <rPh sb="2" eb="3">
      <t>チ</t>
    </rPh>
    <rPh sb="3" eb="4">
      <t>メイ</t>
    </rPh>
    <phoneticPr fontId="4"/>
  </si>
  <si>
    <t>構造/申請延床面積/階数</t>
    <rPh sb="0" eb="2">
      <t>コウゾウ</t>
    </rPh>
    <rPh sb="3" eb="5">
      <t>シンセイ</t>
    </rPh>
    <rPh sb="5" eb="7">
      <t>ノベユカ</t>
    </rPh>
    <rPh sb="7" eb="9">
      <t>メンセキ</t>
    </rPh>
    <rPh sb="10" eb="12">
      <t>カイスウ</t>
    </rPh>
    <phoneticPr fontId="4"/>
  </si>
  <si>
    <t>主要用途　/　</t>
    <rPh sb="0" eb="2">
      <t>シュヨウ</t>
    </rPh>
    <rPh sb="2" eb="4">
      <t>ヨウト</t>
    </rPh>
    <phoneticPr fontId="4"/>
  </si>
  <si>
    <t>住戸数（共同住宅等の場合は必須）</t>
    <rPh sb="4" eb="8">
      <t>キョウドウジュウタク</t>
    </rPh>
    <rPh sb="8" eb="9">
      <t>ナド</t>
    </rPh>
    <rPh sb="10" eb="12">
      <t>バアイ</t>
    </rPh>
    <rPh sb="13" eb="15">
      <t>ヒッスウ</t>
    </rPh>
    <phoneticPr fontId="4"/>
  </si>
  <si>
    <t>中間検査（特定工程）がある場合</t>
    <rPh sb="0" eb="2">
      <t>チュウカン</t>
    </rPh>
    <rPh sb="2" eb="4">
      <t>ケンサ</t>
    </rPh>
    <rPh sb="5" eb="7">
      <t>トクテイ</t>
    </rPh>
    <rPh sb="7" eb="9">
      <t>コウテイ</t>
    </rPh>
    <rPh sb="13" eb="15">
      <t>バアイ</t>
    </rPh>
    <phoneticPr fontId="4"/>
  </si>
  <si>
    <t>確認申請の追加審査項目の有無</t>
    <rPh sb="0" eb="2">
      <t>カクニン</t>
    </rPh>
    <rPh sb="2" eb="4">
      <t>シンセイ</t>
    </rPh>
    <rPh sb="5" eb="7">
      <t>ツイカ</t>
    </rPh>
    <rPh sb="7" eb="9">
      <t>シンサ</t>
    </rPh>
    <rPh sb="9" eb="11">
      <t>コウモク</t>
    </rPh>
    <rPh sb="12" eb="14">
      <t>ウム</t>
    </rPh>
    <phoneticPr fontId="4"/>
  </si>
  <si>
    <t>市町村(該当地がない場合は空白)</t>
    <rPh sb="0" eb="3">
      <t>シチョウソン</t>
    </rPh>
    <rPh sb="4" eb="6">
      <t>ガイトウ</t>
    </rPh>
    <rPh sb="6" eb="7">
      <t>チ</t>
    </rPh>
    <rPh sb="10" eb="12">
      <t>バアイ</t>
    </rPh>
    <rPh sb="13" eb="15">
      <t>クウハク</t>
    </rPh>
    <phoneticPr fontId="4"/>
  </si>
  <si>
    <t>は入力不可</t>
    <rPh sb="1" eb="3">
      <t>ニュウリョク</t>
    </rPh>
    <rPh sb="3" eb="5">
      <t>フカ</t>
    </rPh>
    <phoneticPr fontId="4"/>
  </si>
  <si>
    <t>■適合証明（フラット）について</t>
    <rPh sb="1" eb="3">
      <t>テキゴウ</t>
    </rPh>
    <rPh sb="3" eb="5">
      <t>ショウメイ</t>
    </rPh>
    <phoneticPr fontId="4"/>
  </si>
  <si>
    <t>■住宅性能評価について</t>
    <rPh sb="1" eb="3">
      <t>ジュウタク</t>
    </rPh>
    <rPh sb="3" eb="7">
      <t>セイノウヒョウカ</t>
    </rPh>
    <phoneticPr fontId="4"/>
  </si>
  <si>
    <t>■BELSについて</t>
    <phoneticPr fontId="4"/>
  </si>
  <si>
    <t>■低炭素建築物新築等（住宅または住宅部分に限る）について</t>
    <rPh sb="11" eb="13">
      <t>ジュウタク</t>
    </rPh>
    <rPh sb="16" eb="18">
      <t>ジュウタク</t>
    </rPh>
    <rPh sb="18" eb="20">
      <t>ブブン</t>
    </rPh>
    <rPh sb="21" eb="22">
      <t>カギ</t>
    </rPh>
    <phoneticPr fontId="4"/>
  </si>
  <si>
    <t>※基本情報入力</t>
    <rPh sb="1" eb="3">
      <t>キホン</t>
    </rPh>
    <rPh sb="3" eb="5">
      <t>ジョウホウ</t>
    </rPh>
    <rPh sb="5" eb="7">
      <t>ニュウリョク</t>
    </rPh>
    <phoneticPr fontId="4"/>
  </si>
  <si>
    <t>1の選択カウント</t>
    <rPh sb="2" eb="4">
      <t>センタク</t>
    </rPh>
    <phoneticPr fontId="4"/>
  </si>
  <si>
    <t>2の選択カウント</t>
    <rPh sb="2" eb="4">
      <t>センタク</t>
    </rPh>
    <phoneticPr fontId="4"/>
  </si>
  <si>
    <t>4の選択カウント</t>
    <rPh sb="2" eb="4">
      <t>センタク</t>
    </rPh>
    <phoneticPr fontId="4"/>
  </si>
  <si>
    <t>6の選択カウント</t>
    <rPh sb="2" eb="4">
      <t>センタク</t>
    </rPh>
    <phoneticPr fontId="4"/>
  </si>
  <si>
    <t>7の選択カウント</t>
    <rPh sb="2" eb="4">
      <t>センタク</t>
    </rPh>
    <phoneticPr fontId="4"/>
  </si>
  <si>
    <t>8の選択カウント</t>
    <rPh sb="2" eb="4">
      <t>センタク</t>
    </rPh>
    <phoneticPr fontId="4"/>
  </si>
  <si>
    <t>9の選択カウント</t>
    <rPh sb="2" eb="4">
      <t>センタク</t>
    </rPh>
    <phoneticPr fontId="4"/>
  </si>
  <si>
    <t>10の選択カウント</t>
    <rPh sb="3" eb="5">
      <t>センタク</t>
    </rPh>
    <phoneticPr fontId="4"/>
  </si>
  <si>
    <t>合計選択カウント</t>
    <rPh sb="0" eb="2">
      <t>ゴウケイ</t>
    </rPh>
    <rPh sb="2" eb="4">
      <t>センタク</t>
    </rPh>
    <phoneticPr fontId="4"/>
  </si>
  <si>
    <t>★2モデル</t>
    <phoneticPr fontId="4"/>
  </si>
  <si>
    <t>★1モデル</t>
    <phoneticPr fontId="4"/>
  </si>
  <si>
    <t>6-3室内空気中の化学物質の濃度等(建設評価のみ)｢見積時には選択不可｣</t>
    <rPh sb="26" eb="28">
      <t>ミツモリ</t>
    </rPh>
    <rPh sb="28" eb="29">
      <t>ジ</t>
    </rPh>
    <rPh sb="31" eb="33">
      <t>センタク</t>
    </rPh>
    <rPh sb="33" eb="35">
      <t>フカ</t>
    </rPh>
    <phoneticPr fontId="4"/>
  </si>
  <si>
    <t>省エネ200以内にあたるもの</t>
    <rPh sb="0" eb="1">
      <t>ショウ</t>
    </rPh>
    <rPh sb="6" eb="8">
      <t>イナイ</t>
    </rPh>
    <phoneticPr fontId="4"/>
  </si>
  <si>
    <t>面積｢㎡｣（選択）</t>
  </si>
  <si>
    <t>３棟目</t>
    <rPh sb="1" eb="2">
      <t>トウ</t>
    </rPh>
    <rPh sb="2" eb="3">
      <t>メ</t>
    </rPh>
    <phoneticPr fontId="4"/>
  </si>
  <si>
    <t>BELSの審査の有無/共用部/プレートの有無</t>
    <rPh sb="5" eb="7">
      <t>シンサ</t>
    </rPh>
    <rPh sb="8" eb="10">
      <t>ウム</t>
    </rPh>
    <rPh sb="11" eb="14">
      <t>キョウヨウブ</t>
    </rPh>
    <rPh sb="20" eb="22">
      <t>ウム</t>
    </rPh>
    <phoneticPr fontId="4"/>
  </si>
  <si>
    <t>プレートが必要な場合⇒</t>
    <rPh sb="5" eb="7">
      <t>ヒツヨウ</t>
    </rPh>
    <rPh sb="8" eb="10">
      <t>バアイ</t>
    </rPh>
    <phoneticPr fontId="4"/>
  </si>
  <si>
    <t>■省エネ適判等について　　住宅「仕様基準/性能基準」・非住宅「モデル入力法/標準入力法」とも入力必須</t>
    <rPh sb="1" eb="2">
      <t>ショウ</t>
    </rPh>
    <rPh sb="4" eb="6">
      <t>テキハン</t>
    </rPh>
    <rPh sb="6" eb="7">
      <t>トウ</t>
    </rPh>
    <rPh sb="13" eb="15">
      <t>ジュウタク</t>
    </rPh>
    <rPh sb="16" eb="18">
      <t>シヨウ</t>
    </rPh>
    <rPh sb="18" eb="20">
      <t>キジュン</t>
    </rPh>
    <rPh sb="21" eb="23">
      <t>セイノウ</t>
    </rPh>
    <rPh sb="23" eb="25">
      <t>キジュン</t>
    </rPh>
    <rPh sb="27" eb="30">
      <t>ヒジュウタク</t>
    </rPh>
    <rPh sb="34" eb="37">
      <t>ニュウリョクホウ</t>
    </rPh>
    <rPh sb="38" eb="40">
      <t>ヒョウジュン</t>
    </rPh>
    <rPh sb="40" eb="42">
      <t>ニュウリョク</t>
    </rPh>
    <rPh sb="42" eb="43">
      <t>ホウ</t>
    </rPh>
    <rPh sb="46" eb="48">
      <t>ニュウリョク</t>
    </rPh>
    <rPh sb="48" eb="50">
      <t>ヒッスウ</t>
    </rPh>
    <phoneticPr fontId="4"/>
  </si>
  <si>
    <t>１棟目</t>
    <rPh sb="1" eb="3">
      <t>トウメ</t>
    </rPh>
    <phoneticPr fontId="4"/>
  </si>
  <si>
    <t>共同住宅の場合</t>
    <rPh sb="0" eb="2">
      <t>キョウドウ</t>
    </rPh>
    <rPh sb="2" eb="4">
      <t>ジュウタク</t>
    </rPh>
    <rPh sb="5" eb="7">
      <t>バアイ</t>
    </rPh>
    <phoneticPr fontId="4"/>
  </si>
  <si>
    <t>その他の追加項目</t>
    <rPh sb="2" eb="3">
      <t>タ</t>
    </rPh>
    <rPh sb="4" eb="6">
      <t>ツイカ</t>
    </rPh>
    <rPh sb="6" eb="8">
      <t>コウモク</t>
    </rPh>
    <phoneticPr fontId="4"/>
  </si>
  <si>
    <t>その他特記事項</t>
    <rPh sb="2" eb="3">
      <t>タ</t>
    </rPh>
    <rPh sb="3" eb="5">
      <t>トッキ</t>
    </rPh>
    <rPh sb="5" eb="7">
      <t>ジコウ</t>
    </rPh>
    <phoneticPr fontId="4"/>
  </si>
  <si>
    <t>追加事項</t>
    <rPh sb="0" eb="2">
      <t>ツイカ</t>
    </rPh>
    <rPh sb="2" eb="4">
      <t>ジコウ</t>
    </rPh>
    <phoneticPr fontId="4"/>
  </si>
  <si>
    <t>非住宅の変更申請料金は当初の申請で適用された料金の60％の額とします。</t>
    <rPh sb="0" eb="3">
      <t>ヒジュウタク</t>
    </rPh>
    <rPh sb="4" eb="6">
      <t>ヘンコウ</t>
    </rPh>
    <rPh sb="6" eb="8">
      <t>シンセイ</t>
    </rPh>
    <rPh sb="8" eb="10">
      <t>リョウキン</t>
    </rPh>
    <rPh sb="11" eb="13">
      <t>トウショ</t>
    </rPh>
    <rPh sb="14" eb="16">
      <t>シンセイ</t>
    </rPh>
    <rPh sb="17" eb="19">
      <t>テキヨウ</t>
    </rPh>
    <rPh sb="22" eb="24">
      <t>リョウキン</t>
    </rPh>
    <rPh sb="29" eb="30">
      <t>ガク</t>
    </rPh>
    <phoneticPr fontId="32"/>
  </si>
  <si>
    <t>住宅の変更申請料金は当初の申請で適用された料金の50％とします。</t>
    <rPh sb="0" eb="2">
      <t>ジュウタク</t>
    </rPh>
    <phoneticPr fontId="4"/>
  </si>
  <si>
    <t>共同住宅等の単独審査において｢住戸の審査｣と｢建築物全体の審査｣の両方を行う場合の料金は､｢建築物全体の審査｣の料金とします。</t>
  </si>
  <si>
    <t>｢共用部を有しない2住戸のみの共同住宅等｣の料金は｢一戸建ての住宅｣の料金に2を乗じた額とします。</t>
  </si>
  <si>
    <t>弊社以外で確認申請を審査している場合には､上記料金に20％を加算します。</t>
    <rPh sb="0" eb="2">
      <t>ヘイシャ</t>
    </rPh>
    <rPh sb="2" eb="4">
      <t>イガイ</t>
    </rPh>
    <rPh sb="5" eb="7">
      <t>カクニン</t>
    </rPh>
    <rPh sb="7" eb="9">
      <t>シンセイ</t>
    </rPh>
    <rPh sb="10" eb="12">
      <t>シンサ</t>
    </rPh>
    <rPh sb="16" eb="18">
      <t>バアイ</t>
    </rPh>
    <rPh sb="21" eb="23">
      <t>ジョウキ</t>
    </rPh>
    <rPh sb="23" eb="25">
      <t>リョウキン</t>
    </rPh>
    <rPh sb="30" eb="32">
      <t>カサン</t>
    </rPh>
    <phoneticPr fontId="32"/>
  </si>
  <si>
    <t>改修前後の評価など､上表に規定のない場合は別途見積とします。</t>
    <rPh sb="0" eb="2">
      <t>カイシュウ</t>
    </rPh>
    <rPh sb="2" eb="4">
      <t>ゼンゴ</t>
    </rPh>
    <rPh sb="5" eb="7">
      <t>ヒョウカ</t>
    </rPh>
    <rPh sb="10" eb="12">
      <t>ジョウヒョウ</t>
    </rPh>
    <rPh sb="13" eb="15">
      <t>キテイ</t>
    </rPh>
    <rPh sb="18" eb="20">
      <t>バアイ</t>
    </rPh>
    <rPh sb="21" eb="23">
      <t>ベット</t>
    </rPh>
    <rPh sb="23" eb="25">
      <t>ミツ</t>
    </rPh>
    <phoneticPr fontId="32"/>
  </si>
  <si>
    <t>省エネ適判の申請と同時期に同支店にBELSを申請し､計算書が同じで審査を省略できる場合には50,000円(税抜)とします。</t>
    <rPh sb="0" eb="1">
      <t>ショウ</t>
    </rPh>
    <rPh sb="3" eb="5">
      <t>テキハン</t>
    </rPh>
    <rPh sb="6" eb="8">
      <t>シンセイ</t>
    </rPh>
    <rPh sb="9" eb="12">
      <t>ドウジキ</t>
    </rPh>
    <rPh sb="13" eb="14">
      <t>オナ</t>
    </rPh>
    <rPh sb="14" eb="16">
      <t>シテン</t>
    </rPh>
    <rPh sb="22" eb="24">
      <t>シンセイ</t>
    </rPh>
    <rPh sb="26" eb="29">
      <t>ケイサンショ</t>
    </rPh>
    <rPh sb="30" eb="31">
      <t>オナ</t>
    </rPh>
    <rPh sb="33" eb="35">
      <t>シンサ</t>
    </rPh>
    <rPh sb="36" eb="38">
      <t>ショウリャク</t>
    </rPh>
    <rPh sb="41" eb="43">
      <t>バアイ</t>
    </rPh>
    <rPh sb="51" eb="52">
      <t>エン</t>
    </rPh>
    <rPh sb="53" eb="55">
      <t>ゼイヌ</t>
    </rPh>
    <phoneticPr fontId="32"/>
  </si>
  <si>
    <t>共同住宅等にて､1住戸のみの申請の場合の料金は｢一戸建ての住宅｣の額とします。</t>
  </si>
  <si>
    <t>一戸建ての住宅　設計住宅性能評価(5-1及び5-2)または､低炭素住宅認定審査【併願審査】　</t>
    <rPh sb="0" eb="2">
      <t>ジュウタク</t>
    </rPh>
    <phoneticPr fontId="4"/>
  </si>
  <si>
    <t>評価書の再交付料金は一通5,000円(税抜)とします。</t>
    <rPh sb="0" eb="3">
      <t>ヒョウカショ</t>
    </rPh>
    <rPh sb="4" eb="7">
      <t>サイコウフ</t>
    </rPh>
    <rPh sb="7" eb="9">
      <t>リョウキン</t>
    </rPh>
    <rPh sb="10" eb="12">
      <t>イッツウ</t>
    </rPh>
    <rPh sb="17" eb="18">
      <t>エン</t>
    </rPh>
    <rPh sb="19" eb="20">
      <t>ゼイ</t>
    </rPh>
    <rPh sb="20" eb="21">
      <t>ヌ</t>
    </rPh>
    <phoneticPr fontId="32"/>
  </si>
  <si>
    <t>非住宅・住宅の複合建築物のBELS評価料金は上記の(1).住宅のBELS評価料金､(2).非住宅のBELS評価料金で算出した料金の合計とします。</t>
    <rPh sb="22" eb="24">
      <t>ジョウキ</t>
    </rPh>
    <rPh sb="29" eb="31">
      <t>ジュウタク</t>
    </rPh>
    <rPh sb="36" eb="38">
      <t>ヒョウカ</t>
    </rPh>
    <rPh sb="38" eb="40">
      <t>リョウキン</t>
    </rPh>
    <rPh sb="45" eb="46">
      <t>ヒ</t>
    </rPh>
    <rPh sb="46" eb="48">
      <t>ジュウタク</t>
    </rPh>
    <rPh sb="53" eb="55">
      <t>ヒョウカ</t>
    </rPh>
    <rPh sb="55" eb="57">
      <t>リョウキン</t>
    </rPh>
    <rPh sb="58" eb="60">
      <t>サンシュツ</t>
    </rPh>
    <rPh sb="62" eb="64">
      <t>リョウキン</t>
    </rPh>
    <phoneticPr fontId="32"/>
  </si>
  <si>
    <t>共同住宅等でBELSの申請と同時期に設計住宅性能評価､省エネ適判､または､低炭素建築物を申請し､計算書が同じで審査を省略できる場合は上記評価料金の2分の1(条件を満たすこと)</t>
    <rPh sb="0" eb="1">
      <t>ナド</t>
    </rPh>
    <rPh sb="7" eb="9">
      <t>シンセイ</t>
    </rPh>
    <rPh sb="10" eb="13">
      <t>ドウジキ</t>
    </rPh>
    <rPh sb="25" eb="27">
      <t>テキハン</t>
    </rPh>
    <rPh sb="36" eb="39">
      <t>ケンチクブツ</t>
    </rPh>
    <rPh sb="40" eb="42">
      <t>シンセイ</t>
    </rPh>
    <phoneticPr fontId="4"/>
  </si>
  <si>
    <t>耐震性を選択する場合で、単独申請の場合又は確認併願で4号特例物件'【構造審査加算手数料】</t>
    <phoneticPr fontId="4"/>
  </si>
  <si>
    <t>新築の一戸建て等で建築物全体の延べ面積が0-100㎡以内</t>
    <phoneticPr fontId="4"/>
  </si>
  <si>
    <t>新築の一戸建て等で建築物全体の延べ面積が0-100㎡以内建築物全体の延べ面積が100-200㎡以内</t>
    <phoneticPr fontId="4"/>
  </si>
  <si>
    <t>新築の一戸建て等で建築物全体の延べ面積が0-100㎡以内建築物全体の延べ面積が200-500㎡以内</t>
    <phoneticPr fontId="4"/>
  </si>
  <si>
    <t>新築の一戸建て等で建築物全体の延べ面積が0-100㎡以内壁量計算</t>
    <rPh sb="28" eb="30">
      <t>ヘキリョウ</t>
    </rPh>
    <rPh sb="30" eb="32">
      <t>ケイサン</t>
    </rPh>
    <phoneticPr fontId="4"/>
  </si>
  <si>
    <t>優良区分の料金は､1分野に対する検査手数料です｡複数選択する場合</t>
    <phoneticPr fontId="4"/>
  </si>
  <si>
    <t>5-1・5-2・8-1・8-2除く　＠500円/1分野</t>
    <rPh sb="15" eb="16">
      <t>ノゾ</t>
    </rPh>
    <rPh sb="22" eb="23">
      <t>エン</t>
    </rPh>
    <rPh sb="25" eb="27">
      <t>ブンヤ</t>
    </rPh>
    <phoneticPr fontId="3"/>
  </si>
  <si>
    <t>構造強度にかかる審査を要する変更申請は上記料金の60％</t>
    <phoneticPr fontId="4"/>
  </si>
  <si>
    <t>共同住宅等(新築)30戸未満(一律)｢構造強度にかかる審査を要する変更申請は上記料金の40％｣</t>
    <phoneticPr fontId="4"/>
  </si>
  <si>
    <t>共同住宅等(新築)　30戸以上｢構造強度にかかる審査を要する変更申請は上記料金の40％｣</t>
    <phoneticPr fontId="4"/>
  </si>
  <si>
    <t>一戸建ての住宅(増築･改築)｢構造強度にかかる審査を要する変更申請｣60％</t>
    <phoneticPr fontId="4"/>
  </si>
  <si>
    <t>共同住宅等(新築)30戸未満(一律)｢構造強度にかかる審査を要する変更申請｣60％</t>
    <phoneticPr fontId="4"/>
  </si>
  <si>
    <t>一戸建ての住宅(新築)｢構造強度にかかる審査を要する変更申請｣60％</t>
    <phoneticPr fontId="4"/>
  </si>
  <si>
    <t>一戸建ての住宅(増築･改築)｢構造強度にかかる審査を要さない変更申請｣40％</t>
    <phoneticPr fontId="4"/>
  </si>
  <si>
    <t>一戸建ての住宅(新築)｢構造強度にかかる審査を要さない変更申請｣40％</t>
    <phoneticPr fontId="4"/>
  </si>
  <si>
    <t>共同住宅等(新築)　30戸以上｢構造強度にかかる審査を要する変更申請｣60％</t>
    <phoneticPr fontId="4"/>
  </si>
  <si>
    <t>変更申請手数料</t>
    <rPh sb="0" eb="2">
      <t>ヘンコウ</t>
    </rPh>
    <rPh sb="2" eb="4">
      <t>シンセイ</t>
    </rPh>
    <rPh sb="4" eb="7">
      <t>テスウリョウ</t>
    </rPh>
    <phoneticPr fontId="4"/>
  </si>
  <si>
    <t>共同住宅等の〇×</t>
    <rPh sb="0" eb="2">
      <t>キョウドウ</t>
    </rPh>
    <rPh sb="2" eb="4">
      <t>ジュウタク</t>
    </rPh>
    <rPh sb="4" eb="5">
      <t>ナド</t>
    </rPh>
    <phoneticPr fontId="4"/>
  </si>
  <si>
    <t>200㎡以下の〇×</t>
    <rPh sb="4" eb="6">
      <t>イカ</t>
    </rPh>
    <phoneticPr fontId="4"/>
  </si>
  <si>
    <t>性能基準の〇×</t>
    <rPh sb="0" eb="2">
      <t>セイノウ</t>
    </rPh>
    <rPh sb="2" eb="4">
      <t>キジュン</t>
    </rPh>
    <phoneticPr fontId="4"/>
  </si>
  <si>
    <t>共用部の審査の〇×</t>
    <rPh sb="0" eb="3">
      <t>キョウヨウブ</t>
    </rPh>
    <rPh sb="4" eb="6">
      <t>シンサ</t>
    </rPh>
    <phoneticPr fontId="4"/>
  </si>
  <si>
    <t>1,000-2,000㎡以内(西日本料金)</t>
    <rPh sb="15" eb="18">
      <t>ニシニホン</t>
    </rPh>
    <rPh sb="18" eb="20">
      <t>リョウキン</t>
    </rPh>
    <phoneticPr fontId="4"/>
  </si>
  <si>
    <t>2,000-3,000㎡以内（西日本料金）</t>
    <rPh sb="15" eb="18">
      <t>ニシニホン</t>
    </rPh>
    <rPh sb="18" eb="20">
      <t>リョウキン</t>
    </rPh>
    <phoneticPr fontId="4"/>
  </si>
  <si>
    <t>1,000-2,000㎡以内(西日本料金)</t>
    <phoneticPr fontId="4"/>
  </si>
  <si>
    <t>2,000-3,000㎡以内(西日本料金)</t>
    <phoneticPr fontId="4"/>
  </si>
  <si>
    <t>★当Excelシートの記載方法について★</t>
    <phoneticPr fontId="4"/>
  </si>
  <si>
    <t>■長期使用構造等（長期優良住宅）について</t>
    <rPh sb="1" eb="3">
      <t>チョウキ</t>
    </rPh>
    <rPh sb="3" eb="5">
      <t>シヨウ</t>
    </rPh>
    <rPh sb="5" eb="7">
      <t>コウゾウ</t>
    </rPh>
    <rPh sb="7" eb="8">
      <t>ナド</t>
    </rPh>
    <phoneticPr fontId="4"/>
  </si>
  <si>
    <t>完了検査｢省エネの有/無など｣　　/</t>
    <phoneticPr fontId="4"/>
  </si>
  <si>
    <t>　省エネ適判が必要な棟数が2以上</t>
    <rPh sb="10" eb="12">
      <t>トウスウ</t>
    </rPh>
    <phoneticPr fontId="4"/>
  </si>
  <si>
    <t>完了検査で､非住宅の省エネ適判が標準入力法による場合､省エネ適判ありの基本手数料に20％加算</t>
    <rPh sb="27" eb="28">
      <t>ショウ</t>
    </rPh>
    <rPh sb="30" eb="32">
      <t>テキハン</t>
    </rPh>
    <rPh sb="35" eb="37">
      <t>キホン</t>
    </rPh>
    <phoneticPr fontId="4"/>
  </si>
  <si>
    <t>省エネ適判を他機関にて実施した完了検査で､非住宅の省エネ適判が標準入力法による場合､省エネ適判ありの基本手数料に40％加算</t>
    <rPh sb="42" eb="43">
      <t>ショウ</t>
    </rPh>
    <rPh sb="45" eb="47">
      <t>テキハン</t>
    </rPh>
    <phoneticPr fontId="4"/>
  </si>
  <si>
    <t>完了検査で､省エネ適判を適用した棟数が２以上ある場合は､1棟毎に完了検査基本手数料の10％が加算</t>
    <phoneticPr fontId="4"/>
  </si>
  <si>
    <t>仮使用認定基本手数料(省エネ適判あり)</t>
    <rPh sb="0" eb="2">
      <t>カリシヨウ</t>
    </rPh>
    <rPh sb="3" eb="5">
      <t>ニンテイ</t>
    </rPh>
    <rPh sb="5" eb="7">
      <t>キホン</t>
    </rPh>
    <rPh sb="7" eb="10">
      <t>テスウリョウ</t>
    </rPh>
    <rPh sb="11" eb="12">
      <t>ショウ</t>
    </rPh>
    <rPh sb="14" eb="16">
      <t>テキハン</t>
    </rPh>
    <phoneticPr fontId="16"/>
  </si>
  <si>
    <t>Exp-J等で構造上分離しているもの、又は2棟以上あるもの</t>
    <phoneticPr fontId="4"/>
  </si>
  <si>
    <t>建築物全体の応力を構造計算一貫プログラムによらずに解析したもの</t>
    <phoneticPr fontId="4"/>
  </si>
  <si>
    <t>限界耐力計算又は免震(大臣認定を除く)等の審査を要するもの</t>
    <phoneticPr fontId="4"/>
  </si>
  <si>
    <t>追加審査項目　選択｢2｣</t>
    <phoneticPr fontId="4"/>
  </si>
  <si>
    <t>追加審査項目　選択｢4｣</t>
    <phoneticPr fontId="4"/>
  </si>
  <si>
    <t>構造計算ルート２に申請するものがあるもの</t>
    <phoneticPr fontId="4"/>
  </si>
  <si>
    <t>構造関係の追加審査</t>
    <phoneticPr fontId="4"/>
  </si>
  <si>
    <t>省エネ適判を他機関にて実施した完了検査は､省エネ適判ありの基本手数料に20％の料金加算</t>
    <rPh sb="21" eb="22">
      <t>ショウ</t>
    </rPh>
    <rPh sb="24" eb="26">
      <t>テキハン</t>
    </rPh>
    <phoneticPr fontId="4"/>
  </si>
  <si>
    <r>
      <rPr>
        <b/>
        <sz val="10"/>
        <color rgb="FFFF0000"/>
        <rFont val="ＭＳ Ｐゴシック"/>
        <family val="3"/>
        <charset val="128"/>
      </rPr>
      <t>★</t>
    </r>
    <r>
      <rPr>
        <b/>
        <sz val="10"/>
        <rFont val="ＭＳ Ｐゴシック"/>
        <family val="3"/>
        <charset val="128"/>
      </rPr>
      <t>料金設定</t>
    </r>
    <rPh sb="1" eb="3">
      <t>リョウキン</t>
    </rPh>
    <rPh sb="3" eb="5">
      <t>セッテイ</t>
    </rPh>
    <phoneticPr fontId="4"/>
  </si>
  <si>
    <t>1.確認検査基本手数料(通常料金)</t>
    <phoneticPr fontId="4"/>
  </si>
  <si>
    <t>対象となる合計棟数を入力⇒</t>
    <rPh sb="7" eb="9">
      <t>トウスウ</t>
    </rPh>
    <rPh sb="10" eb="12">
      <t>ニュウリョク</t>
    </rPh>
    <phoneticPr fontId="4"/>
  </si>
  <si>
    <t>数字を入力</t>
    <rPh sb="0" eb="2">
      <t>スウジ</t>
    </rPh>
    <rPh sb="3" eb="5">
      <t>ニュウリョク</t>
    </rPh>
    <phoneticPr fontId="4"/>
  </si>
  <si>
    <t>床面積×60％</t>
    <rPh sb="0" eb="1">
      <t>ユカ</t>
    </rPh>
    <rPh sb="1" eb="3">
      <t>メンセキ</t>
    </rPh>
    <phoneticPr fontId="4"/>
  </si>
  <si>
    <t>床面積×40％</t>
    <rPh sb="0" eb="1">
      <t>ユカ</t>
    </rPh>
    <rPh sb="1" eb="3">
      <t>メンセキ</t>
    </rPh>
    <phoneticPr fontId="4"/>
  </si>
  <si>
    <t>※長期優良・設計性能評価による省略</t>
    <rPh sb="1" eb="3">
      <t>チョウキ</t>
    </rPh>
    <rPh sb="3" eb="5">
      <t>ユウリョウ</t>
    </rPh>
    <rPh sb="6" eb="8">
      <t>セッケイ</t>
    </rPh>
    <rPh sb="8" eb="10">
      <t>セイノウ</t>
    </rPh>
    <rPh sb="10" eb="12">
      <t>ヒョウカ</t>
    </rPh>
    <rPh sb="15" eb="17">
      <t>ショウリャク</t>
    </rPh>
    <phoneticPr fontId="4"/>
  </si>
  <si>
    <t>※検査回数が8回以上の際は回数を手打ち</t>
    <rPh sb="1" eb="3">
      <t>ケンサ</t>
    </rPh>
    <rPh sb="3" eb="5">
      <t>カイスウ</t>
    </rPh>
    <rPh sb="7" eb="8">
      <t>カイ</t>
    </rPh>
    <rPh sb="8" eb="10">
      <t>イジョウ</t>
    </rPh>
    <rPh sb="11" eb="12">
      <t>サイ</t>
    </rPh>
    <rPh sb="13" eb="15">
      <t>カイスウ</t>
    </rPh>
    <rPh sb="16" eb="18">
      <t>テウ</t>
    </rPh>
    <phoneticPr fontId="4"/>
  </si>
  <si>
    <r>
      <rPr>
        <b/>
        <sz val="10"/>
        <color rgb="FFFF0000"/>
        <rFont val="ＭＳ Ｐゴシック"/>
        <family val="3"/>
        <charset val="128"/>
      </rPr>
      <t>☆</t>
    </r>
    <r>
      <rPr>
        <b/>
        <sz val="10"/>
        <rFont val="ＭＳ Ｐゴシック"/>
        <family val="3"/>
        <charset val="128"/>
      </rPr>
      <t>省エネ適判が必要な棟数が2棟以上
の場合(合計棟数を入力)</t>
    </r>
    <rPh sb="1" eb="2">
      <t>ショウ</t>
    </rPh>
    <rPh sb="4" eb="6">
      <t>テキハン</t>
    </rPh>
    <rPh sb="7" eb="9">
      <t>ヒツヨウ</t>
    </rPh>
    <rPh sb="10" eb="12">
      <t>トウスウ</t>
    </rPh>
    <rPh sb="14" eb="15">
      <t>トウ</t>
    </rPh>
    <rPh sb="21" eb="23">
      <t>バアイ</t>
    </rPh>
    <rPh sb="24" eb="26">
      <t>ゴウケイ</t>
    </rPh>
    <rPh sb="26" eb="28">
      <t>トウスウニュウリョク</t>
    </rPh>
    <phoneticPr fontId="4"/>
  </si>
  <si>
    <t>　１棟目内　省エネ適判を要する複合用途(2)</t>
    <rPh sb="2" eb="4">
      <t>トウメ</t>
    </rPh>
    <rPh sb="4" eb="5">
      <t>ナイ</t>
    </rPh>
    <rPh sb="6" eb="7">
      <t>ショウ</t>
    </rPh>
    <rPh sb="9" eb="11">
      <t>テキハン</t>
    </rPh>
    <rPh sb="12" eb="13">
      <t>ヨウ</t>
    </rPh>
    <rPh sb="15" eb="17">
      <t>フクゴウ</t>
    </rPh>
    <rPh sb="17" eb="19">
      <t>ヨウト</t>
    </rPh>
    <phoneticPr fontId="4"/>
  </si>
  <si>
    <t>　１棟目内　省エネ適判を要する複合用途(3)</t>
    <rPh sb="2" eb="4">
      <t>トウメ</t>
    </rPh>
    <rPh sb="4" eb="5">
      <t>ナイ</t>
    </rPh>
    <rPh sb="6" eb="7">
      <t>ショウ</t>
    </rPh>
    <rPh sb="9" eb="11">
      <t>テキハン</t>
    </rPh>
    <rPh sb="12" eb="13">
      <t>ヨウ</t>
    </rPh>
    <rPh sb="15" eb="17">
      <t>フクゴウ</t>
    </rPh>
    <rPh sb="17" eb="19">
      <t>ヨウト</t>
    </rPh>
    <phoneticPr fontId="4"/>
  </si>
  <si>
    <t>　１棟目内　省エネ適判を要する複合用途(4)</t>
    <rPh sb="2" eb="4">
      <t>トウメ</t>
    </rPh>
    <rPh sb="4" eb="5">
      <t>ナイ</t>
    </rPh>
    <rPh sb="6" eb="7">
      <t>ショウ</t>
    </rPh>
    <rPh sb="9" eb="11">
      <t>テキハン</t>
    </rPh>
    <rPh sb="12" eb="13">
      <t>ヨウ</t>
    </rPh>
    <rPh sb="15" eb="17">
      <t>フクゴウ</t>
    </rPh>
    <rPh sb="17" eb="19">
      <t>ヨウト</t>
    </rPh>
    <phoneticPr fontId="4"/>
  </si>
  <si>
    <t>確認申請(計画通知)基本手数料</t>
    <rPh sb="5" eb="7">
      <t>ケイカク</t>
    </rPh>
    <rPh sb="7" eb="9">
      <t>ツウチ</t>
    </rPh>
    <rPh sb="10" eb="12">
      <t>キホン</t>
    </rPh>
    <phoneticPr fontId="16"/>
  </si>
  <si>
    <t>計画変更(計画変更通知)手数料</t>
    <rPh sb="5" eb="7">
      <t>ケイカク</t>
    </rPh>
    <rPh sb="7" eb="9">
      <t>ヘンコウ</t>
    </rPh>
    <rPh sb="9" eb="11">
      <t>ツウチ</t>
    </rPh>
    <rPh sb="12" eb="15">
      <t>テスウリョウ</t>
    </rPh>
    <phoneticPr fontId="4"/>
  </si>
  <si>
    <t>完了検査(工事完了通知)基本手数料(省エネ適判なし)</t>
    <rPh sb="0" eb="2">
      <t>カンリョウ</t>
    </rPh>
    <rPh sb="2" eb="4">
      <t>ケンサ</t>
    </rPh>
    <rPh sb="12" eb="14">
      <t>キホン</t>
    </rPh>
    <rPh sb="14" eb="17">
      <t>テスウリョウ</t>
    </rPh>
    <rPh sb="18" eb="19">
      <t>ショウ</t>
    </rPh>
    <rPh sb="21" eb="23">
      <t>テキハン</t>
    </rPh>
    <phoneticPr fontId="4"/>
  </si>
  <si>
    <t>完了検査(工事完了通知)基本手数料省エネ適判あり</t>
    <rPh sb="0" eb="2">
      <t>カンリョウ</t>
    </rPh>
    <rPh sb="2" eb="4">
      <t>ケンサ</t>
    </rPh>
    <rPh sb="5" eb="7">
      <t>コウジ</t>
    </rPh>
    <rPh sb="7" eb="11">
      <t>カンリョウツウチ</t>
    </rPh>
    <rPh sb="12" eb="14">
      <t>キホン</t>
    </rPh>
    <rPh sb="14" eb="17">
      <t>テスウリョウ</t>
    </rPh>
    <rPh sb="17" eb="18">
      <t>ショウ</t>
    </rPh>
    <rPh sb="20" eb="22">
      <t>テキハン</t>
    </rPh>
    <phoneticPr fontId="4"/>
  </si>
  <si>
    <t>省エネ適判を他機関にて実施した完了検査(工事完了通知)は､省エネ適判ありの基本手数料に20％の料金加算</t>
    <rPh sb="20" eb="22">
      <t>コウジ</t>
    </rPh>
    <rPh sb="22" eb="24">
      <t>カンリョウ</t>
    </rPh>
    <rPh sb="24" eb="26">
      <t>ツウチ</t>
    </rPh>
    <rPh sb="29" eb="30">
      <t>ショウ</t>
    </rPh>
    <rPh sb="32" eb="34">
      <t>テキハン</t>
    </rPh>
    <phoneticPr fontId="4"/>
  </si>
  <si>
    <t>完了検査(工事完了通知)で､非住宅の省エネ適判が標準入力法による場合､省エネ適判ありの基本手数料に20％加算</t>
    <rPh sb="5" eb="7">
      <t>コウジ</t>
    </rPh>
    <rPh sb="7" eb="9">
      <t>カンリョウ</t>
    </rPh>
    <rPh sb="9" eb="11">
      <t>ツウチ</t>
    </rPh>
    <rPh sb="35" eb="36">
      <t>ショウ</t>
    </rPh>
    <rPh sb="38" eb="40">
      <t>テキハン</t>
    </rPh>
    <rPh sb="43" eb="45">
      <t>キホン</t>
    </rPh>
    <phoneticPr fontId="4"/>
  </si>
  <si>
    <t>省エネ適判を他機関にて実施した完了検査(工事完了通知)で､非住宅の省エネ適判が標準入力法による場合､省エネ適判ありの基本手数料に40％加算</t>
    <rPh sb="20" eb="22">
      <t>コウジ</t>
    </rPh>
    <rPh sb="22" eb="24">
      <t>カンリョウ</t>
    </rPh>
    <rPh sb="24" eb="26">
      <t>ツウチ</t>
    </rPh>
    <rPh sb="50" eb="51">
      <t>ショウ</t>
    </rPh>
    <rPh sb="53" eb="55">
      <t>テキハン</t>
    </rPh>
    <phoneticPr fontId="4"/>
  </si>
  <si>
    <t>完了検査(工事完了通知)で､省エネ適判を適用した棟数が２以上ある場合は､1棟毎に完了検査基本手数料の10％が加算</t>
    <rPh sb="5" eb="7">
      <t>コウジ</t>
    </rPh>
    <rPh sb="7" eb="9">
      <t>カンリョウ</t>
    </rPh>
    <rPh sb="9" eb="11">
      <t>ツウチ</t>
    </rPh>
    <phoneticPr fontId="4"/>
  </si>
  <si>
    <t>確認申請総額×60％</t>
    <rPh sb="0" eb="2">
      <t>カクニン</t>
    </rPh>
    <rPh sb="2" eb="4">
      <t>シンセイ</t>
    </rPh>
    <rPh sb="4" eb="6">
      <t>ソウガク</t>
    </rPh>
    <phoneticPr fontId="4"/>
  </si>
  <si>
    <t>計画変更料金及び軽微変更該当証明料金 変更後の床面積・用途に応じた金額の50％(～2024年3月31日交付分)</t>
    <rPh sb="19" eb="22">
      <t>ヘンコウゴ</t>
    </rPh>
    <rPh sb="23" eb="26">
      <t>ユカメンセキ</t>
    </rPh>
    <rPh sb="27" eb="29">
      <t>ヨウト</t>
    </rPh>
    <rPh sb="30" eb="31">
      <t>オウ</t>
    </rPh>
    <rPh sb="33" eb="35">
      <t>キンガク</t>
    </rPh>
    <rPh sb="45" eb="46">
      <t>ネン</t>
    </rPh>
    <rPh sb="47" eb="48">
      <t>ガツ</t>
    </rPh>
    <rPh sb="50" eb="51">
      <t>ニチ</t>
    </rPh>
    <rPh sb="51" eb="53">
      <t>コウフ</t>
    </rPh>
    <rPh sb="53" eb="54">
      <t>ブン</t>
    </rPh>
    <phoneticPr fontId="4"/>
  </si>
  <si>
    <t>床面積×50％</t>
    <rPh sb="0" eb="1">
      <t>ユカ</t>
    </rPh>
    <rPh sb="1" eb="3">
      <t>メンセキ</t>
    </rPh>
    <phoneticPr fontId="4"/>
  </si>
  <si>
    <t>Exp-J等で構造上が分離している、又は別棟があり構造審査を要するものが2棟以上</t>
    <rPh sb="20" eb="22">
      <t>ベツムネ</t>
    </rPh>
    <rPh sb="25" eb="29">
      <t>コウゾウシンサ</t>
    </rPh>
    <rPh sb="30" eb="31">
      <t>ヨウ</t>
    </rPh>
    <phoneticPr fontId="4"/>
  </si>
  <si>
    <t>合計棟数入力(１棟の場合は入力不要)⇒</t>
    <rPh sb="0" eb="2">
      <t>ゴウケイ</t>
    </rPh>
    <rPh sb="2" eb="4">
      <t>トウスウ</t>
    </rPh>
    <rPh sb="4" eb="6">
      <t>ニュウリョク</t>
    </rPh>
    <rPh sb="8" eb="9">
      <t>トウ</t>
    </rPh>
    <rPh sb="10" eb="12">
      <t>バアイ</t>
    </rPh>
    <rPh sb="13" eb="15">
      <t>ニュウリョク</t>
    </rPh>
    <rPh sb="15" eb="17">
      <t>フヨウ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</si>
</sst>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quot;¥&quot;#,##0_);[Red]\(&quot;¥&quot;#,##0\)"/>
    <numFmt numFmtId="177" formatCode="_(&quot;¥&quot;* #,##0_);_(&quot;¥&quot;* \(#,##0\);_(&quot;¥&quot;* &quot;-&quot;_);_(@_)"/>
    <numFmt numFmtId="178" formatCode="&quot;¥&quot;#,##0.;&quot;¥&quot;\-#,##0."/>
    <numFmt numFmtId="179" formatCode="#,##0.00\ &quot;㎡&quot;"/>
    <numFmt numFmtId="180" formatCode="[$-411]ggge&quot;年&quot;m&quot;月&quot;d&quot;日&quot;;@"/>
    <numFmt numFmtId="181" formatCode="0_ "/>
    <numFmt numFmtId="182" formatCode="0_);[Red]\(0\)"/>
    <numFmt numFmtId="183" formatCode="General&quot;戸&quot;"/>
    <numFmt numFmtId="184" formatCode="#,##0_);[Red]\(#,##0\)"/>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HG丸ｺﾞｼｯｸM-PRO"/>
      <family val="3"/>
      <charset val="128"/>
    </font>
    <font>
      <sz val="9"/>
      <name val="ＭＳ Ｐ明朝"/>
      <family val="1"/>
      <charset val="128"/>
    </font>
    <font>
      <sz val="10"/>
      <name val="ＭＳ Ｐ明朝"/>
      <family val="1"/>
      <charset val="128"/>
    </font>
    <font>
      <b/>
      <sz val="16"/>
      <color indexed="8"/>
      <name val="ＭＳ Ｐ明朝"/>
      <family val="1"/>
      <charset val="128"/>
    </font>
    <font>
      <sz val="10"/>
      <color indexed="8"/>
      <name val="ＭＳ Ｐ明朝"/>
      <family val="1"/>
      <charset val="128"/>
    </font>
    <font>
      <sz val="11"/>
      <name val="ＭＳ Ｐ明朝"/>
      <family val="1"/>
      <charset val="128"/>
    </font>
    <font>
      <u/>
      <sz val="12"/>
      <name val="ＭＳ Ｐ明朝"/>
      <family val="1"/>
      <charset val="128"/>
    </font>
    <font>
      <sz val="8"/>
      <name val="ＭＳ Ｐ明朝"/>
      <family val="1"/>
      <charset val="128"/>
    </font>
    <font>
      <sz val="12"/>
      <name val="ＭＳ Ｐ明朝"/>
      <family val="1"/>
      <charset val="128"/>
    </font>
    <font>
      <b/>
      <sz val="16"/>
      <name val="ＭＳ Ｐ明朝"/>
      <family val="1"/>
      <charset val="128"/>
    </font>
    <font>
      <sz val="11"/>
      <name val="Meiryo UI"/>
      <family val="3"/>
      <charset val="128"/>
    </font>
    <font>
      <sz val="6"/>
      <name val="ＭＳ Ｐゴシック"/>
      <family val="3"/>
      <charset val="128"/>
      <scheme val="minor"/>
    </font>
    <font>
      <b/>
      <sz val="16"/>
      <name val="Meiryo UI"/>
      <family val="3"/>
      <charset val="128"/>
    </font>
    <font>
      <b/>
      <sz val="10"/>
      <name val="Meiryo UI"/>
      <family val="3"/>
      <charset val="128"/>
    </font>
    <font>
      <sz val="10"/>
      <name val="Meiryo UI"/>
      <family val="3"/>
      <charset val="128"/>
    </font>
    <font>
      <b/>
      <sz val="12"/>
      <name val="Meiryo UI"/>
      <family val="3"/>
      <charset val="128"/>
    </font>
    <font>
      <sz val="8"/>
      <name val="Meiryo UI"/>
      <family val="3"/>
      <charset val="128"/>
    </font>
    <font>
      <sz val="10"/>
      <name val="MS UI Gothic"/>
      <family val="3"/>
      <charset val="128"/>
    </font>
    <font>
      <sz val="11"/>
      <color theme="1"/>
      <name val="ＭＳ Ｐゴシック"/>
      <family val="3"/>
      <charset val="128"/>
      <scheme val="minor"/>
    </font>
    <font>
      <sz val="11"/>
      <color indexed="8"/>
      <name val="ＭＳ Ｐゴシック"/>
      <family val="3"/>
      <charset val="128"/>
    </font>
    <font>
      <b/>
      <sz val="10"/>
      <name val="MS UI Gothic"/>
      <family val="3"/>
      <charset val="128"/>
    </font>
    <font>
      <sz val="9"/>
      <name val="ＭＳ Ｐゴシック"/>
      <family val="3"/>
      <charset val="128"/>
    </font>
    <font>
      <sz val="8"/>
      <color theme="1"/>
      <name val="ＭＳ Ｐゴシック"/>
      <family val="3"/>
      <charset val="128"/>
      <scheme val="minor"/>
    </font>
    <font>
      <sz val="9"/>
      <color indexed="8"/>
      <name val="ＭＳ Ｐ明朝"/>
      <family val="1"/>
      <charset val="128"/>
    </font>
    <font>
      <sz val="8"/>
      <name val="ＭＳ Ｐゴシック"/>
      <family val="3"/>
      <charset val="128"/>
    </font>
    <font>
      <sz val="9"/>
      <name val="メイリオ"/>
      <family val="3"/>
      <charset val="128"/>
    </font>
    <font>
      <sz val="11"/>
      <color rgb="FF3F3F76"/>
      <name val="ＭＳ Ｐゴシック"/>
      <family val="2"/>
      <charset val="128"/>
      <scheme val="minor"/>
    </font>
    <font>
      <sz val="6"/>
      <name val="ＭＳ Ｐゴシック"/>
      <family val="2"/>
      <charset val="128"/>
      <scheme val="minor"/>
    </font>
    <font>
      <sz val="10"/>
      <color theme="1"/>
      <name val="Meiryo UI"/>
      <family val="3"/>
      <charset val="128"/>
    </font>
    <font>
      <sz val="9"/>
      <color rgb="FFFF0000"/>
      <name val="ＭＳ Ｐゴシック"/>
      <family val="3"/>
      <charset val="128"/>
    </font>
    <font>
      <sz val="11"/>
      <color rgb="FFFF0000"/>
      <name val="ＭＳ Ｐゴシック"/>
      <family val="3"/>
      <charset val="128"/>
    </font>
    <font>
      <sz val="9"/>
      <color rgb="FFC00000"/>
      <name val="ＭＳ Ｐ明朝"/>
      <family val="1"/>
      <charset val="128"/>
    </font>
    <font>
      <sz val="10"/>
      <name val="ＭＳ Ｐゴシック"/>
      <family val="3"/>
      <charset val="128"/>
    </font>
    <font>
      <b/>
      <sz val="11"/>
      <name val="HGP明朝B"/>
      <family val="1"/>
      <charset val="128"/>
    </font>
    <font>
      <sz val="11"/>
      <name val="HGP明朝B"/>
      <family val="1"/>
      <charset val="128"/>
    </font>
    <font>
      <sz val="11"/>
      <color theme="1"/>
      <name val="HGP明朝B"/>
      <family val="1"/>
      <charset val="128"/>
    </font>
    <font>
      <sz val="10"/>
      <color rgb="FFFF0000"/>
      <name val="ＭＳ Ｐ明朝"/>
      <family val="1"/>
      <charset val="128"/>
    </font>
    <font>
      <sz val="11"/>
      <color rgb="FFC00000"/>
      <name val="ＭＳ Ｐ明朝"/>
      <family val="1"/>
      <charset val="128"/>
    </font>
    <font>
      <sz val="10"/>
      <color rgb="FFFF0000"/>
      <name val="Meiryo UI"/>
      <family val="3"/>
      <charset val="128"/>
    </font>
    <font>
      <b/>
      <sz val="12"/>
      <color rgb="FFFF0000"/>
      <name val="Meiryo UI"/>
      <family val="3"/>
      <charset val="128"/>
    </font>
    <font>
      <u/>
      <sz val="11"/>
      <name val="ＭＳ Ｐ明朝"/>
      <family val="1"/>
      <charset val="128"/>
    </font>
    <font>
      <b/>
      <sz val="11"/>
      <color theme="1"/>
      <name val="ＭＳ Ｐ明朝"/>
      <family val="1"/>
      <charset val="128"/>
    </font>
    <font>
      <sz val="6"/>
      <color rgb="FF333333"/>
      <name val="ＭＳ Ｐ明朝"/>
      <family val="1"/>
      <charset val="128"/>
    </font>
    <font>
      <sz val="9"/>
      <color rgb="FFFFC000"/>
      <name val="ＭＳ Ｐ明朝"/>
      <family val="1"/>
      <charset val="128"/>
    </font>
    <font>
      <b/>
      <sz val="9"/>
      <name val="ＭＳ Ｐ明朝"/>
      <family val="1"/>
      <charset val="128"/>
    </font>
    <font>
      <b/>
      <sz val="10"/>
      <name val="ＭＳ Ｐゴシック"/>
      <family val="3"/>
      <charset val="128"/>
    </font>
    <font>
      <sz val="9"/>
      <color rgb="FFFF0000"/>
      <name val="ＭＳ Ｐ明朝"/>
      <family val="1"/>
      <charset val="128"/>
    </font>
    <font>
      <b/>
      <sz val="10"/>
      <color rgb="FFFF0000"/>
      <name val="ＭＳ Ｐゴシック"/>
      <family val="3"/>
      <charset val="128"/>
    </font>
    <font>
      <b/>
      <sz val="10"/>
      <color rgb="FFC00000"/>
      <name val="ＭＳ Ｐゴシック"/>
      <family val="3"/>
      <charset val="128"/>
    </font>
    <font>
      <b/>
      <sz val="8"/>
      <name val="ＭＳ Ｐゴシック"/>
      <family val="3"/>
      <charset val="128"/>
    </font>
    <font>
      <sz val="9"/>
      <color rgb="FF000000"/>
      <name val="Meiryo UI"/>
      <family val="3"/>
      <charset val="128"/>
    </font>
    <font>
      <b/>
      <sz val="9"/>
      <name val="ＭＳ Ｐゴシック"/>
      <family val="3"/>
      <charset val="128"/>
    </font>
    <font>
      <sz val="14"/>
      <name val="ＭＳ Ｐゴシック"/>
      <family val="3"/>
      <charset val="128"/>
    </font>
  </fonts>
  <fills count="18">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CCCCFF"/>
        <bgColor indexed="64"/>
      </patternFill>
    </fill>
    <fill>
      <patternFill patternType="solid">
        <fgColor theme="8"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0.499984740745262"/>
        <bgColor indexed="64"/>
      </patternFill>
    </fill>
    <fill>
      <patternFill patternType="solid">
        <fgColor rgb="FFFFFFCC"/>
        <bgColor indexed="64"/>
      </patternFill>
    </fill>
    <fill>
      <patternFill patternType="solid">
        <fgColor rgb="FF00B0F0"/>
        <bgColor indexed="64"/>
      </patternFill>
    </fill>
    <fill>
      <patternFill patternType="solid">
        <fgColor theme="4" tint="0.59999389629810485"/>
        <bgColor indexed="64"/>
      </patternFill>
    </fill>
  </fills>
  <borders count="101">
    <border>
      <left/>
      <right/>
      <top/>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right/>
      <top/>
      <bottom style="double">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auto="1"/>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auto="1"/>
      </left>
      <right/>
      <top style="medium">
        <color auto="1"/>
      </top>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auto="1"/>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right/>
      <top style="hair">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s>
  <cellStyleXfs count="33">
    <xf numFmtId="0" fontId="0" fillId="0" borderId="0"/>
    <xf numFmtId="38" fontId="3" fillId="0" borderId="0" applyFont="0" applyFill="0" applyBorder="0" applyAlignment="0" applyProtection="0"/>
    <xf numFmtId="38"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xf numFmtId="0" fontId="3" fillId="0" borderId="0">
      <alignment vertical="center"/>
    </xf>
    <xf numFmtId="0" fontId="3" fillId="0" borderId="0"/>
    <xf numFmtId="0" fontId="5" fillId="0" borderId="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0" fontId="23" fillId="0" borderId="0">
      <alignment vertical="center"/>
    </xf>
    <xf numFmtId="38" fontId="24" fillId="0" borderId="0" applyFont="0" applyFill="0" applyBorder="0" applyAlignment="0" applyProtection="0">
      <alignment vertical="center"/>
    </xf>
    <xf numFmtId="6" fontId="3" fillId="0" borderId="0" applyFont="0" applyFill="0" applyBorder="0" applyAlignment="0" applyProtection="0">
      <alignment vertical="center"/>
    </xf>
    <xf numFmtId="6" fontId="23" fillId="0" borderId="0" applyFont="0" applyFill="0" applyBorder="0" applyAlignment="0" applyProtection="0">
      <alignment vertical="center"/>
    </xf>
    <xf numFmtId="0" fontId="23" fillId="0" borderId="0">
      <alignment vertical="center"/>
    </xf>
    <xf numFmtId="38" fontId="24" fillId="0" borderId="0" applyFont="0" applyFill="0" applyBorder="0" applyAlignment="0" applyProtection="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cellStyleXfs>
  <cellXfs count="801">
    <xf numFmtId="0" fontId="0" fillId="0" borderId="0" xfId="0"/>
    <xf numFmtId="0" fontId="7" fillId="0" borderId="0" xfId="0" applyFont="1" applyAlignment="1">
      <alignment vertical="center"/>
    </xf>
    <xf numFmtId="0" fontId="6" fillId="0" borderId="0" xfId="0" applyFont="1" applyAlignment="1">
      <alignment vertical="center"/>
    </xf>
    <xf numFmtId="0" fontId="6" fillId="0" borderId="0" xfId="0" quotePrefix="1" applyFont="1" applyAlignment="1">
      <alignment horizontal="left" vertical="center"/>
    </xf>
    <xf numFmtId="0" fontId="6" fillId="0" borderId="3" xfId="0" applyFont="1" applyBorder="1" applyAlignment="1">
      <alignment horizontal="center" vertical="center"/>
    </xf>
    <xf numFmtId="0" fontId="12" fillId="0" borderId="0" xfId="8" quotePrefix="1" applyFont="1">
      <alignment vertical="center"/>
    </xf>
    <xf numFmtId="0" fontId="6" fillId="0" borderId="5" xfId="0" quotePrefix="1" applyFont="1" applyBorder="1" applyAlignment="1">
      <alignment horizontal="left" vertical="center"/>
    </xf>
    <xf numFmtId="0" fontId="6" fillId="0" borderId="4" xfId="0" quotePrefix="1" applyFont="1" applyBorder="1" applyAlignment="1">
      <alignment horizontal="left" vertical="center"/>
    </xf>
    <xf numFmtId="0" fontId="6" fillId="0" borderId="0" xfId="0" quotePrefix="1" applyFont="1" applyAlignment="1">
      <alignment horizontal="center" vertical="center"/>
    </xf>
    <xf numFmtId="0" fontId="13" fillId="0" borderId="0" xfId="0" applyFont="1" applyAlignment="1">
      <alignment vertical="center"/>
    </xf>
    <xf numFmtId="0" fontId="10" fillId="0" borderId="0" xfId="0" applyFont="1" applyAlignment="1">
      <alignment vertical="center"/>
    </xf>
    <xf numFmtId="0" fontId="6" fillId="0" borderId="0" xfId="0" applyFont="1" applyAlignment="1">
      <alignment horizontal="center" vertical="center"/>
    </xf>
    <xf numFmtId="0" fontId="6" fillId="0" borderId="4" xfId="0" applyFont="1" applyBorder="1" applyAlignment="1">
      <alignment vertical="center"/>
    </xf>
    <xf numFmtId="179" fontId="6" fillId="0" borderId="4" xfId="1" quotePrefix="1" applyNumberFormat="1" applyFont="1" applyBorder="1" applyAlignment="1">
      <alignment vertical="center"/>
    </xf>
    <xf numFmtId="0" fontId="6" fillId="0" borderId="7" xfId="0" applyFont="1" applyBorder="1" applyAlignment="1">
      <alignment vertical="center"/>
    </xf>
    <xf numFmtId="0" fontId="6" fillId="0" borderId="6" xfId="0" applyFont="1" applyBorder="1" applyAlignment="1">
      <alignment vertical="center"/>
    </xf>
    <xf numFmtId="0" fontId="6" fillId="0" borderId="0" xfId="0" applyFont="1" applyAlignment="1">
      <alignment horizontal="left" vertical="center"/>
    </xf>
    <xf numFmtId="0" fontId="6" fillId="0" borderId="4" xfId="7" applyFont="1" applyBorder="1" applyAlignment="1">
      <alignment horizontal="left" vertical="center"/>
    </xf>
    <xf numFmtId="0" fontId="6" fillId="0" borderId="4" xfId="7" quotePrefix="1" applyFont="1" applyBorder="1" applyAlignment="1">
      <alignment horizontal="right" vertical="center"/>
    </xf>
    <xf numFmtId="0" fontId="6" fillId="0" borderId="5" xfId="0" applyFont="1" applyBorder="1" applyAlignment="1">
      <alignment vertical="center"/>
    </xf>
    <xf numFmtId="0" fontId="6" fillId="0" borderId="4" xfId="0" applyFont="1" applyBorder="1" applyAlignment="1" applyProtection="1">
      <alignment vertical="center"/>
      <protection locked="0"/>
    </xf>
    <xf numFmtId="179" fontId="6" fillId="0" borderId="4" xfId="1" quotePrefix="1" applyNumberFormat="1" applyFont="1" applyBorder="1" applyAlignment="1" applyProtection="1">
      <alignment vertical="center"/>
      <protection locked="0"/>
    </xf>
    <xf numFmtId="49" fontId="6" fillId="0" borderId="5" xfId="0" quotePrefix="1" applyNumberFormat="1" applyFont="1" applyBorder="1" applyAlignment="1">
      <alignment horizontal="right" vertical="center"/>
    </xf>
    <xf numFmtId="49" fontId="6" fillId="0" borderId="5" xfId="0" quotePrefix="1" applyNumberFormat="1" applyFont="1" applyBorder="1" applyAlignment="1" applyProtection="1">
      <alignment horizontal="right" vertical="center"/>
      <protection locked="0"/>
    </xf>
    <xf numFmtId="6" fontId="6" fillId="0" borderId="11" xfId="1" applyNumberFormat="1" applyFont="1" applyFill="1" applyBorder="1" applyAlignment="1">
      <alignment horizontal="right" vertical="center"/>
    </xf>
    <xf numFmtId="0" fontId="6" fillId="0" borderId="11" xfId="0" applyFont="1" applyBorder="1" applyAlignment="1">
      <alignment horizontal="center" vertical="center"/>
    </xf>
    <xf numFmtId="0" fontId="6" fillId="0" borderId="11" xfId="0" applyFont="1" applyBorder="1" applyAlignment="1">
      <alignment horizontal="right" vertical="center"/>
    </xf>
    <xf numFmtId="178" fontId="6" fillId="0" borderId="0" xfId="1" applyNumberFormat="1" applyFont="1" applyBorder="1" applyAlignment="1">
      <alignment horizontal="right" vertical="center"/>
    </xf>
    <xf numFmtId="38" fontId="6" fillId="0" borderId="4" xfId="1" applyFont="1" applyBorder="1" applyAlignment="1">
      <alignment horizontal="right" vertical="center"/>
    </xf>
    <xf numFmtId="38" fontId="6" fillId="0" borderId="11" xfId="1" applyFont="1" applyBorder="1" applyAlignment="1">
      <alignment horizontal="right" vertical="center"/>
    </xf>
    <xf numFmtId="0" fontId="7" fillId="0" borderId="0" xfId="0" applyFont="1" applyAlignment="1">
      <alignment horizontal="right" vertical="center"/>
    </xf>
    <xf numFmtId="179" fontId="6" fillId="0" borderId="4" xfId="1" quotePrefix="1" applyNumberFormat="1" applyFont="1" applyFill="1" applyBorder="1" applyAlignment="1">
      <alignment vertical="center"/>
    </xf>
    <xf numFmtId="181" fontId="6" fillId="0" borderId="4" xfId="1" applyNumberFormat="1" applyFont="1" applyFill="1" applyBorder="1" applyAlignment="1">
      <alignment horizontal="center" vertical="center"/>
    </xf>
    <xf numFmtId="0" fontId="19" fillId="0" borderId="0" xfId="0" applyFont="1" applyAlignment="1">
      <alignment vertical="center"/>
    </xf>
    <xf numFmtId="41" fontId="19" fillId="0" borderId="0" xfId="6" applyNumberFormat="1" applyFont="1">
      <alignment vertical="center"/>
    </xf>
    <xf numFmtId="41" fontId="18" fillId="0" borderId="0" xfId="6" applyNumberFormat="1" applyFont="1">
      <alignment vertical="center"/>
    </xf>
    <xf numFmtId="0" fontId="22" fillId="0" borderId="0" xfId="6" quotePrefix="1" applyFont="1" applyAlignment="1">
      <alignment horizontal="left" vertical="center"/>
    </xf>
    <xf numFmtId="0" fontId="19" fillId="0" borderId="0" xfId="6" quotePrefix="1" applyFont="1" applyAlignment="1">
      <alignment horizontal="left" vertical="center"/>
    </xf>
    <xf numFmtId="38" fontId="19" fillId="0" borderId="29" xfId="25" applyFont="1" applyFill="1" applyBorder="1" applyAlignment="1">
      <alignment horizontal="center" vertical="center"/>
    </xf>
    <xf numFmtId="0" fontId="17" fillId="0" borderId="0" xfId="24" quotePrefix="1" applyFont="1" applyAlignment="1">
      <alignment horizontal="center" vertical="center"/>
    </xf>
    <xf numFmtId="38" fontId="19" fillId="0" borderId="0" xfId="25" applyFont="1" applyFill="1" applyBorder="1" applyAlignment="1">
      <alignment horizontal="center" vertical="center"/>
    </xf>
    <xf numFmtId="38" fontId="19" fillId="0" borderId="19" xfId="25" applyFont="1" applyFill="1" applyBorder="1" applyAlignment="1">
      <alignment horizontal="center" vertical="center"/>
    </xf>
    <xf numFmtId="38" fontId="19" fillId="0" borderId="17" xfId="25" applyFont="1" applyFill="1" applyBorder="1" applyAlignment="1">
      <alignment horizontal="center" vertical="center"/>
    </xf>
    <xf numFmtId="38" fontId="19" fillId="0" borderId="24" xfId="25" applyFont="1" applyFill="1" applyBorder="1" applyAlignment="1">
      <alignment horizontal="center" vertical="center"/>
    </xf>
    <xf numFmtId="38" fontId="19" fillId="0" borderId="17" xfId="25" applyFont="1" applyBorder="1" applyAlignment="1">
      <alignment horizontal="center" vertical="center"/>
    </xf>
    <xf numFmtId="38" fontId="19" fillId="0" borderId="35" xfId="25" applyFont="1" applyFill="1" applyBorder="1" applyAlignment="1">
      <alignment horizontal="center" vertical="center"/>
    </xf>
    <xf numFmtId="38" fontId="19" fillId="0" borderId="25" xfId="25" applyFont="1" applyFill="1" applyBorder="1" applyAlignment="1">
      <alignment horizontal="center" vertical="center"/>
    </xf>
    <xf numFmtId="38" fontId="19" fillId="0" borderId="0" xfId="25" applyFont="1" applyBorder="1" applyAlignment="1">
      <alignment horizontal="center" vertical="center"/>
    </xf>
    <xf numFmtId="0" fontId="19" fillId="0" borderId="9" xfId="6" quotePrefix="1" applyFont="1" applyBorder="1" applyAlignment="1">
      <alignment horizontal="left" vertical="center"/>
    </xf>
    <xf numFmtId="38" fontId="19" fillId="0" borderId="9" xfId="25" applyFont="1" applyFill="1" applyBorder="1" applyAlignment="1">
      <alignment horizontal="center" vertical="center"/>
    </xf>
    <xf numFmtId="38" fontId="19" fillId="0" borderId="9" xfId="25" applyFont="1" applyBorder="1" applyAlignment="1">
      <alignment horizontal="center" vertical="center"/>
    </xf>
    <xf numFmtId="38" fontId="19" fillId="0" borderId="0" xfId="25" applyFont="1" applyAlignment="1">
      <alignment horizontal="right" vertical="center"/>
    </xf>
    <xf numFmtId="0" fontId="19" fillId="0" borderId="0" xfId="24" applyFont="1" applyAlignment="1">
      <alignment horizontal="center" vertical="center"/>
    </xf>
    <xf numFmtId="0" fontId="21" fillId="3" borderId="41" xfId="6" quotePrefix="1" applyFont="1" applyFill="1" applyBorder="1" applyAlignment="1">
      <alignment horizontal="center" vertical="center"/>
    </xf>
    <xf numFmtId="38" fontId="21" fillId="3" borderId="41" xfId="25" applyFont="1" applyFill="1" applyBorder="1" applyAlignment="1">
      <alignment horizontal="center" vertical="center"/>
    </xf>
    <xf numFmtId="38" fontId="21" fillId="3" borderId="41" xfId="25" quotePrefix="1" applyFont="1" applyFill="1" applyBorder="1" applyAlignment="1">
      <alignment horizontal="center" vertical="center"/>
    </xf>
    <xf numFmtId="0" fontId="21" fillId="5" borderId="40" xfId="24" applyFont="1" applyFill="1" applyBorder="1" applyAlignment="1">
      <alignment horizontal="left" vertical="center"/>
    </xf>
    <xf numFmtId="0" fontId="21" fillId="5" borderId="41" xfId="6" quotePrefix="1" applyFont="1" applyFill="1" applyBorder="1" applyAlignment="1">
      <alignment horizontal="center" vertical="center"/>
    </xf>
    <xf numFmtId="0" fontId="21" fillId="5" borderId="42" xfId="6" quotePrefix="1" applyFont="1" applyFill="1" applyBorder="1" applyAlignment="1">
      <alignment horizontal="center" vertical="center"/>
    </xf>
    <xf numFmtId="0" fontId="27" fillId="5" borderId="25" xfId="24" applyFont="1" applyFill="1" applyBorder="1" applyAlignment="1">
      <alignment vertical="center" wrapText="1"/>
    </xf>
    <xf numFmtId="38" fontId="21" fillId="4" borderId="17" xfId="25" applyFont="1" applyFill="1" applyBorder="1" applyAlignment="1">
      <alignment horizontal="center" vertical="center" wrapText="1"/>
    </xf>
    <xf numFmtId="38" fontId="21" fillId="4" borderId="24" xfId="25" applyFont="1" applyFill="1" applyBorder="1" applyAlignment="1">
      <alignment horizontal="center" vertical="center" wrapText="1"/>
    </xf>
    <xf numFmtId="38" fontId="21" fillId="6" borderId="24" xfId="25" applyFont="1" applyFill="1" applyBorder="1" applyAlignment="1">
      <alignment horizontal="left" vertical="center" wrapText="1"/>
    </xf>
    <xf numFmtId="38" fontId="21" fillId="6" borderId="20" xfId="25" applyFont="1" applyFill="1" applyBorder="1" applyAlignment="1">
      <alignment horizontal="left" vertical="center" wrapText="1"/>
    </xf>
    <xf numFmtId="38" fontId="21" fillId="3" borderId="24" xfId="25" applyFont="1" applyFill="1" applyBorder="1" applyAlignment="1">
      <alignment horizontal="left" vertical="center" wrapText="1"/>
    </xf>
    <xf numFmtId="0" fontId="21" fillId="5" borderId="44" xfId="24" applyFont="1" applyFill="1" applyBorder="1" applyAlignment="1">
      <alignment horizontal="left" vertical="center" wrapText="1"/>
    </xf>
    <xf numFmtId="0" fontId="23" fillId="0" borderId="0" xfId="24">
      <alignment vertical="center"/>
    </xf>
    <xf numFmtId="0" fontId="18" fillId="0" borderId="0" xfId="24" quotePrefix="1" applyFont="1" applyAlignment="1">
      <alignment horizontal="right" vertical="center"/>
    </xf>
    <xf numFmtId="0" fontId="19" fillId="0" borderId="0" xfId="24" applyFont="1">
      <alignment vertical="center"/>
    </xf>
    <xf numFmtId="0" fontId="18" fillId="0" borderId="0" xfId="24" applyFont="1">
      <alignment vertical="center"/>
    </xf>
    <xf numFmtId="38" fontId="21" fillId="4" borderId="17" xfId="25" applyFont="1" applyFill="1" applyBorder="1" applyAlignment="1">
      <alignment horizontal="center" vertical="center"/>
    </xf>
    <xf numFmtId="38" fontId="21" fillId="4" borderId="17" xfId="25" quotePrefix="1" applyFont="1" applyFill="1" applyBorder="1" applyAlignment="1">
      <alignment horizontal="center" vertical="center"/>
    </xf>
    <xf numFmtId="38" fontId="21" fillId="6" borderId="40" xfId="25" quotePrefix="1" applyFont="1" applyFill="1" applyBorder="1" applyAlignment="1">
      <alignment horizontal="left" vertical="center"/>
    </xf>
    <xf numFmtId="38" fontId="21" fillId="6" borderId="48" xfId="25" applyFont="1" applyFill="1" applyBorder="1" applyAlignment="1">
      <alignment horizontal="left" vertical="center"/>
    </xf>
    <xf numFmtId="38" fontId="19" fillId="0" borderId="44" xfId="25" applyFont="1" applyBorder="1" applyAlignment="1">
      <alignment vertical="center"/>
    </xf>
    <xf numFmtId="38" fontId="19" fillId="0" borderId="17" xfId="25" applyFont="1" applyBorder="1" applyAlignment="1">
      <alignment vertical="center"/>
    </xf>
    <xf numFmtId="38" fontId="19" fillId="0" borderId="48" xfId="25" applyFont="1" applyBorder="1" applyAlignment="1">
      <alignment vertical="center"/>
    </xf>
    <xf numFmtId="38" fontId="19" fillId="0" borderId="43" xfId="25" applyFont="1" applyBorder="1" applyAlignment="1">
      <alignment vertical="center"/>
    </xf>
    <xf numFmtId="38" fontId="19" fillId="0" borderId="24" xfId="25" applyFont="1" applyBorder="1" applyAlignment="1">
      <alignment vertical="center"/>
    </xf>
    <xf numFmtId="38" fontId="19" fillId="0" borderId="45" xfId="25" applyFont="1" applyBorder="1" applyAlignment="1">
      <alignment vertical="center"/>
    </xf>
    <xf numFmtId="38" fontId="19" fillId="0" borderId="49" xfId="25" applyFont="1" applyBorder="1" applyAlignment="1">
      <alignment vertical="center"/>
    </xf>
    <xf numFmtId="38" fontId="19" fillId="0" borderId="27" xfId="25" applyFont="1" applyBorder="1" applyAlignment="1">
      <alignment vertical="center"/>
    </xf>
    <xf numFmtId="0" fontId="19" fillId="0" borderId="24" xfId="6" quotePrefix="1" applyFont="1" applyBorder="1" applyAlignment="1">
      <alignment horizontal="left" vertical="center"/>
    </xf>
    <xf numFmtId="38" fontId="19" fillId="0" borderId="18" xfId="25" applyFont="1" applyFill="1" applyBorder="1" applyAlignment="1">
      <alignment horizontal="center" vertical="center"/>
    </xf>
    <xf numFmtId="0" fontId="19" fillId="0" borderId="37" xfId="6" quotePrefix="1" applyFont="1" applyBorder="1" applyAlignment="1">
      <alignment horizontal="left" vertical="center"/>
    </xf>
    <xf numFmtId="38" fontId="19" fillId="0" borderId="37" xfId="25" applyFont="1" applyFill="1" applyBorder="1" applyAlignment="1">
      <alignment horizontal="center" vertical="center"/>
    </xf>
    <xf numFmtId="38" fontId="19" fillId="0" borderId="38" xfId="25" applyFont="1" applyFill="1" applyBorder="1" applyAlignment="1">
      <alignment horizontal="center" vertical="center"/>
    </xf>
    <xf numFmtId="38" fontId="19" fillId="0" borderId="37" xfId="25" applyFont="1" applyBorder="1" applyAlignment="1">
      <alignment vertical="center"/>
    </xf>
    <xf numFmtId="38" fontId="19" fillId="0" borderId="53" xfId="25" applyFont="1" applyBorder="1" applyAlignment="1">
      <alignment vertical="center"/>
    </xf>
    <xf numFmtId="38" fontId="19" fillId="0" borderId="36" xfId="25" applyFont="1" applyBorder="1" applyAlignment="1">
      <alignment vertical="center"/>
    </xf>
    <xf numFmtId="38" fontId="19" fillId="0" borderId="54" xfId="25" applyFont="1" applyBorder="1" applyAlignment="1">
      <alignment vertical="center"/>
    </xf>
    <xf numFmtId="0" fontId="19" fillId="0" borderId="25" xfId="6" quotePrefix="1" applyFont="1" applyBorder="1" applyAlignment="1">
      <alignment horizontal="left" vertical="center"/>
    </xf>
    <xf numFmtId="38" fontId="19" fillId="0" borderId="28" xfId="25" applyFont="1" applyBorder="1" applyAlignment="1">
      <alignment vertical="center"/>
    </xf>
    <xf numFmtId="38" fontId="19" fillId="0" borderId="51" xfId="25" applyFont="1" applyBorder="1" applyAlignment="1">
      <alignment vertical="center"/>
    </xf>
    <xf numFmtId="38" fontId="19" fillId="0" borderId="52" xfId="25" applyFont="1" applyBorder="1" applyAlignment="1">
      <alignment vertical="center"/>
    </xf>
    <xf numFmtId="41" fontId="25" fillId="0" borderId="0" xfId="6" applyNumberFormat="1" applyFont="1">
      <alignment vertical="center"/>
    </xf>
    <xf numFmtId="41" fontId="22" fillId="0" borderId="0" xfId="6" applyNumberFormat="1" applyFont="1">
      <alignment vertical="center"/>
    </xf>
    <xf numFmtId="0" fontId="15" fillId="0" borderId="0" xfId="24" applyFont="1">
      <alignment vertical="center"/>
    </xf>
    <xf numFmtId="0" fontId="21" fillId="4" borderId="24" xfId="24" applyFont="1" applyFill="1" applyBorder="1" applyAlignment="1">
      <alignment horizontal="center" vertical="center" wrapText="1"/>
    </xf>
    <xf numFmtId="0" fontId="21" fillId="5" borderId="25" xfId="6" quotePrefix="1" applyFont="1" applyFill="1" applyBorder="1" applyAlignment="1">
      <alignment horizontal="left" vertical="center" wrapText="1"/>
    </xf>
    <xf numFmtId="0" fontId="0" fillId="0" borderId="0" xfId="0" applyAlignment="1">
      <alignment wrapText="1"/>
    </xf>
    <xf numFmtId="0" fontId="21" fillId="4" borderId="20" xfId="6" quotePrefix="1" applyFont="1" applyFill="1" applyBorder="1" applyAlignment="1">
      <alignment horizontal="center" vertical="center"/>
    </xf>
    <xf numFmtId="0" fontId="21" fillId="3" borderId="24" xfId="6" quotePrefix="1" applyFont="1" applyFill="1" applyBorder="1" applyAlignment="1">
      <alignment horizontal="left" vertical="center" wrapText="1"/>
    </xf>
    <xf numFmtId="0" fontId="21" fillId="5" borderId="20" xfId="6" quotePrefix="1" applyFont="1" applyFill="1" applyBorder="1" applyAlignment="1">
      <alignment horizontal="left" vertical="center" wrapText="1"/>
    </xf>
    <xf numFmtId="0" fontId="21" fillId="5" borderId="45" xfId="6" quotePrefix="1" applyFont="1" applyFill="1" applyBorder="1" applyAlignment="1">
      <alignment horizontal="center" vertical="center" wrapText="1"/>
    </xf>
    <xf numFmtId="0" fontId="19" fillId="0" borderId="17" xfId="6" quotePrefix="1" applyFont="1" applyBorder="1" applyAlignment="1">
      <alignment horizontal="left" vertical="center"/>
    </xf>
    <xf numFmtId="38" fontId="19" fillId="0" borderId="34" xfId="25" applyFont="1" applyFill="1" applyBorder="1" applyAlignment="1">
      <alignment horizontal="center" vertical="center"/>
    </xf>
    <xf numFmtId="38" fontId="19" fillId="0" borderId="12" xfId="25" applyFont="1" applyFill="1" applyBorder="1" applyAlignment="1">
      <alignment horizontal="center" vertical="center"/>
    </xf>
    <xf numFmtId="0" fontId="21" fillId="3" borderId="41" xfId="24" applyFont="1" applyFill="1" applyBorder="1" applyAlignment="1">
      <alignment horizontal="left" vertical="center"/>
    </xf>
    <xf numFmtId="0" fontId="21" fillId="3" borderId="21" xfId="24" applyFont="1" applyFill="1" applyBorder="1" applyAlignment="1">
      <alignment horizontal="left" vertical="center" wrapText="1"/>
    </xf>
    <xf numFmtId="38" fontId="19" fillId="0" borderId="26" xfId="25" applyFont="1" applyBorder="1" applyAlignment="1">
      <alignment vertical="center"/>
    </xf>
    <xf numFmtId="38" fontId="19" fillId="0" borderId="30" xfId="25" applyFont="1" applyBorder="1" applyAlignment="1">
      <alignment vertical="center"/>
    </xf>
    <xf numFmtId="0" fontId="21" fillId="3" borderId="9" xfId="24" applyFont="1" applyFill="1" applyBorder="1" applyAlignment="1">
      <alignment horizontal="left" vertical="center" wrapText="1"/>
    </xf>
    <xf numFmtId="38" fontId="19" fillId="0" borderId="12" xfId="25" applyFont="1" applyBorder="1" applyAlignment="1">
      <alignment vertical="center"/>
    </xf>
    <xf numFmtId="38" fontId="19" fillId="0" borderId="0" xfId="25" applyFont="1" applyBorder="1" applyAlignment="1">
      <alignment vertical="center"/>
    </xf>
    <xf numFmtId="0" fontId="21" fillId="3" borderId="24" xfId="24" applyFont="1" applyFill="1" applyBorder="1" applyAlignment="1">
      <alignment horizontal="left" vertical="center" wrapText="1"/>
    </xf>
    <xf numFmtId="38" fontId="21" fillId="3" borderId="20" xfId="25" applyFont="1" applyFill="1" applyBorder="1" applyAlignment="1">
      <alignment horizontal="left" vertical="center" wrapText="1"/>
    </xf>
    <xf numFmtId="38" fontId="19" fillId="0" borderId="23" xfId="25" applyFont="1" applyBorder="1" applyAlignment="1">
      <alignment vertical="center"/>
    </xf>
    <xf numFmtId="38" fontId="19" fillId="0" borderId="7" xfId="25" applyFont="1" applyBorder="1" applyAlignment="1">
      <alignment vertical="center"/>
    </xf>
    <xf numFmtId="38" fontId="19" fillId="0" borderId="47" xfId="25" applyFont="1" applyBorder="1" applyAlignment="1">
      <alignment vertical="center"/>
    </xf>
    <xf numFmtId="38" fontId="19" fillId="0" borderId="57" xfId="25" applyFont="1" applyBorder="1" applyAlignment="1">
      <alignment vertical="center"/>
    </xf>
    <xf numFmtId="38" fontId="19" fillId="0" borderId="41" xfId="25" applyFont="1" applyBorder="1" applyAlignment="1">
      <alignment vertical="center"/>
    </xf>
    <xf numFmtId="38" fontId="19" fillId="0" borderId="58" xfId="25" applyFont="1" applyBorder="1" applyAlignment="1">
      <alignment vertical="center"/>
    </xf>
    <xf numFmtId="38" fontId="19" fillId="0" borderId="59" xfId="25" applyFont="1" applyBorder="1" applyAlignment="1">
      <alignment vertical="center"/>
    </xf>
    <xf numFmtId="38" fontId="21" fillId="4" borderId="25" xfId="25" applyFont="1" applyFill="1" applyBorder="1" applyAlignment="1">
      <alignment horizontal="center" vertical="center"/>
    </xf>
    <xf numFmtId="38" fontId="21" fillId="4" borderId="20" xfId="25" applyFont="1" applyFill="1" applyBorder="1" applyAlignment="1">
      <alignment horizontal="center" vertical="center" wrapText="1"/>
    </xf>
    <xf numFmtId="38" fontId="19" fillId="0" borderId="39" xfId="25" applyFont="1" applyFill="1" applyBorder="1" applyAlignment="1">
      <alignment horizontal="center" vertical="center"/>
    </xf>
    <xf numFmtId="38" fontId="19" fillId="0" borderId="20" xfId="25" applyFont="1" applyFill="1" applyBorder="1" applyAlignment="1">
      <alignment horizontal="center" vertical="center"/>
    </xf>
    <xf numFmtId="38" fontId="19" fillId="0" borderId="60" xfId="25" applyFont="1" applyFill="1" applyBorder="1" applyAlignment="1">
      <alignment horizontal="center" vertical="center"/>
    </xf>
    <xf numFmtId="38" fontId="19" fillId="0" borderId="22" xfId="25" applyFont="1" applyFill="1" applyBorder="1" applyAlignment="1">
      <alignment horizontal="center" vertical="center"/>
    </xf>
    <xf numFmtId="0" fontId="23" fillId="6" borderId="41" xfId="24" applyFill="1" applyBorder="1">
      <alignment vertical="center"/>
    </xf>
    <xf numFmtId="0" fontId="23" fillId="6" borderId="42" xfId="24" applyFill="1" applyBorder="1">
      <alignment vertical="center"/>
    </xf>
    <xf numFmtId="0" fontId="26" fillId="0" borderId="0" xfId="0" applyFont="1" applyAlignment="1">
      <alignment wrapText="1"/>
    </xf>
    <xf numFmtId="0" fontId="26" fillId="0" borderId="0" xfId="0" applyFont="1" applyAlignment="1">
      <alignment horizontal="left" wrapText="1"/>
    </xf>
    <xf numFmtId="0" fontId="6" fillId="0" borderId="0" xfId="0" quotePrefix="1" applyFont="1" applyAlignment="1">
      <alignment horizontal="left" vertical="center" wrapText="1"/>
    </xf>
    <xf numFmtId="0" fontId="6" fillId="0" borderId="0" xfId="8" quotePrefix="1" applyFont="1" applyAlignment="1">
      <alignment horizontal="left" vertical="center" wrapText="1"/>
    </xf>
    <xf numFmtId="0" fontId="28" fillId="0" borderId="0" xfId="0" applyFont="1" applyAlignment="1">
      <alignment horizontal="left" vertical="center" wrapText="1"/>
    </xf>
    <xf numFmtId="0" fontId="26" fillId="0" borderId="0" xfId="0" applyFont="1"/>
    <xf numFmtId="38" fontId="19" fillId="0" borderId="17" xfId="29" applyFont="1" applyBorder="1" applyAlignment="1">
      <alignment vertical="center"/>
    </xf>
    <xf numFmtId="38" fontId="19" fillId="0" borderId="25" xfId="29" applyFont="1" applyBorder="1" applyAlignment="1">
      <alignment vertical="center"/>
    </xf>
    <xf numFmtId="38" fontId="19" fillId="0" borderId="43" xfId="29" applyFont="1" applyBorder="1" applyAlignment="1">
      <alignment vertical="center"/>
    </xf>
    <xf numFmtId="38" fontId="19" fillId="0" borderId="24" xfId="29" applyFont="1" applyBorder="1" applyAlignment="1">
      <alignment vertical="center"/>
    </xf>
    <xf numFmtId="38" fontId="19" fillId="0" borderId="20" xfId="29" applyFont="1" applyBorder="1" applyAlignment="1">
      <alignment vertical="center"/>
    </xf>
    <xf numFmtId="38" fontId="19" fillId="0" borderId="44" xfId="29" applyFont="1" applyBorder="1" applyAlignment="1">
      <alignment vertical="center"/>
    </xf>
    <xf numFmtId="38" fontId="19" fillId="0" borderId="37" xfId="29" applyFont="1" applyBorder="1" applyAlignment="1">
      <alignment vertical="center"/>
    </xf>
    <xf numFmtId="38" fontId="19" fillId="0" borderId="56" xfId="29" applyFont="1" applyBorder="1" applyAlignment="1">
      <alignment vertical="center"/>
    </xf>
    <xf numFmtId="38" fontId="19" fillId="0" borderId="53" xfId="29" applyFont="1" applyBorder="1" applyAlignment="1">
      <alignment vertical="center"/>
    </xf>
    <xf numFmtId="38" fontId="19" fillId="0" borderId="51" xfId="29" applyFont="1" applyBorder="1" applyAlignment="1">
      <alignment vertical="center"/>
    </xf>
    <xf numFmtId="38" fontId="19" fillId="0" borderId="60" xfId="29" applyFont="1" applyBorder="1" applyAlignment="1">
      <alignment vertical="center"/>
    </xf>
    <xf numFmtId="38" fontId="19" fillId="0" borderId="50" xfId="29" applyFont="1" applyBorder="1" applyAlignment="1">
      <alignment vertical="center"/>
    </xf>
    <xf numFmtId="38" fontId="19" fillId="0" borderId="28" xfId="29" applyFont="1" applyBorder="1" applyAlignment="1">
      <alignment vertical="center"/>
    </xf>
    <xf numFmtId="38" fontId="19" fillId="0" borderId="22" xfId="29" applyFont="1" applyBorder="1" applyAlignment="1">
      <alignment vertical="center"/>
    </xf>
    <xf numFmtId="38" fontId="19" fillId="0" borderId="46" xfId="29" applyFont="1" applyBorder="1" applyAlignment="1">
      <alignment vertical="center"/>
    </xf>
    <xf numFmtId="38" fontId="19" fillId="0" borderId="61" xfId="25" applyFont="1" applyFill="1" applyBorder="1" applyAlignment="1">
      <alignment horizontal="center" vertical="center"/>
    </xf>
    <xf numFmtId="38" fontId="19" fillId="0" borderId="59" xfId="25" applyFont="1" applyFill="1" applyBorder="1" applyAlignment="1">
      <alignment horizontal="center" vertical="center"/>
    </xf>
    <xf numFmtId="38" fontId="19" fillId="0" borderId="7" xfId="25" applyFont="1" applyFill="1" applyBorder="1" applyAlignment="1">
      <alignment horizontal="center" vertical="center"/>
    </xf>
    <xf numFmtId="38" fontId="6" fillId="0" borderId="4" xfId="1" applyFont="1" applyFill="1" applyBorder="1" applyAlignment="1">
      <alignment horizontal="right" vertical="center"/>
    </xf>
    <xf numFmtId="0" fontId="6" fillId="7" borderId="4" xfId="0" quotePrefix="1" applyFont="1" applyFill="1" applyBorder="1" applyAlignment="1">
      <alignment horizontal="left" vertical="center" shrinkToFit="1"/>
    </xf>
    <xf numFmtId="0" fontId="6" fillId="8" borderId="0" xfId="0" applyFont="1" applyFill="1" applyAlignment="1">
      <alignment vertical="center"/>
    </xf>
    <xf numFmtId="0" fontId="9" fillId="8" borderId="0" xfId="0" quotePrefix="1" applyFont="1" applyFill="1"/>
    <xf numFmtId="0" fontId="7" fillId="8" borderId="0" xfId="0" applyFont="1" applyFill="1" applyAlignment="1">
      <alignment vertical="center"/>
    </xf>
    <xf numFmtId="0" fontId="9" fillId="8" borderId="0" xfId="0" quotePrefix="1" applyFont="1" applyFill="1" applyAlignment="1">
      <alignment horizontal="left"/>
    </xf>
    <xf numFmtId="0" fontId="11" fillId="8" borderId="0" xfId="0" quotePrefix="1" applyFont="1" applyFill="1" applyAlignment="1">
      <alignment horizontal="left" vertical="center"/>
    </xf>
    <xf numFmtId="178" fontId="10" fillId="8" borderId="6" xfId="1" applyNumberFormat="1" applyFont="1" applyFill="1" applyBorder="1" applyAlignment="1">
      <alignment horizontal="right" vertical="center"/>
    </xf>
    <xf numFmtId="0" fontId="6" fillId="8" borderId="4" xfId="0" quotePrefix="1" applyFont="1" applyFill="1" applyBorder="1" applyAlignment="1">
      <alignment horizontal="right" vertical="center"/>
    </xf>
    <xf numFmtId="0" fontId="6" fillId="8" borderId="4" xfId="7" quotePrefix="1" applyFont="1" applyFill="1" applyBorder="1" applyAlignment="1">
      <alignment horizontal="right" vertical="center"/>
    </xf>
    <xf numFmtId="181" fontId="6" fillId="8" borderId="4" xfId="1" applyNumberFormat="1" applyFont="1" applyFill="1" applyBorder="1" applyAlignment="1">
      <alignment horizontal="right" vertical="center"/>
    </xf>
    <xf numFmtId="0" fontId="6" fillId="8" borderId="4" xfId="7" applyFont="1" applyFill="1" applyBorder="1" applyAlignment="1">
      <alignment horizontal="left" vertical="center"/>
    </xf>
    <xf numFmtId="0" fontId="6" fillId="8" borderId="4" xfId="7" applyFont="1" applyFill="1" applyBorder="1" applyAlignment="1">
      <alignment horizontal="center" vertical="center" shrinkToFit="1"/>
    </xf>
    <xf numFmtId="0" fontId="6" fillId="8" borderId="3" xfId="0" applyFont="1" applyFill="1" applyBorder="1" applyAlignment="1">
      <alignment horizontal="center" vertical="center"/>
    </xf>
    <xf numFmtId="6" fontId="6" fillId="8" borderId="11" xfId="1" applyNumberFormat="1" applyFont="1" applyFill="1" applyBorder="1" applyAlignment="1">
      <alignment horizontal="right" vertical="center"/>
    </xf>
    <xf numFmtId="178" fontId="6" fillId="8" borderId="14" xfId="1" applyNumberFormat="1" applyFont="1" applyFill="1" applyBorder="1" applyAlignment="1">
      <alignment horizontal="right" vertical="center"/>
    </xf>
    <xf numFmtId="0" fontId="21" fillId="5" borderId="41" xfId="24" applyFont="1" applyFill="1" applyBorder="1" applyAlignment="1">
      <alignment horizontal="left" vertical="center"/>
    </xf>
    <xf numFmtId="0" fontId="21" fillId="5" borderId="21" xfId="24" applyFont="1" applyFill="1" applyBorder="1" applyAlignment="1">
      <alignment horizontal="left" vertical="center" wrapText="1"/>
    </xf>
    <xf numFmtId="0" fontId="6" fillId="8" borderId="3" xfId="0" applyFont="1" applyFill="1" applyBorder="1" applyAlignment="1">
      <alignment horizontal="center" vertical="center" shrinkToFit="1"/>
    </xf>
    <xf numFmtId="38" fontId="6" fillId="8" borderId="4" xfId="1" applyFont="1" applyFill="1" applyBorder="1" applyAlignment="1">
      <alignment horizontal="right" vertical="center" shrinkToFit="1"/>
    </xf>
    <xf numFmtId="6" fontId="6" fillId="8" borderId="11" xfId="1" applyNumberFormat="1" applyFont="1" applyFill="1" applyBorder="1" applyAlignment="1">
      <alignment horizontal="right" vertical="center" shrinkToFit="1"/>
    </xf>
    <xf numFmtId="0" fontId="6" fillId="0" borderId="3" xfId="0" applyFont="1" applyBorder="1" applyAlignment="1">
      <alignment horizontal="center" vertical="center" shrinkToFit="1"/>
    </xf>
    <xf numFmtId="38" fontId="6" fillId="0" borderId="4" xfId="1" applyFont="1" applyFill="1" applyBorder="1" applyAlignment="1">
      <alignment horizontal="right" vertical="center" shrinkToFit="1"/>
    </xf>
    <xf numFmtId="6" fontId="6" fillId="0" borderId="11" xfId="1" applyNumberFormat="1" applyFont="1" applyFill="1" applyBorder="1" applyAlignment="1">
      <alignment horizontal="right" vertical="center" shrinkToFit="1"/>
    </xf>
    <xf numFmtId="178" fontId="6" fillId="8" borderId="14" xfId="1" applyNumberFormat="1" applyFont="1" applyFill="1" applyBorder="1" applyAlignment="1">
      <alignment horizontal="right" vertical="center" shrinkToFit="1"/>
    </xf>
    <xf numFmtId="0" fontId="6" fillId="0" borderId="4" xfId="7" applyFont="1" applyBorder="1" applyAlignment="1">
      <alignment horizontal="center" vertical="center" shrinkToFit="1"/>
    </xf>
    <xf numFmtId="40" fontId="6" fillId="0" borderId="4" xfId="1" quotePrefix="1" applyNumberFormat="1" applyFont="1" applyFill="1" applyBorder="1" applyAlignment="1">
      <alignment horizontal="left" vertical="center"/>
    </xf>
    <xf numFmtId="179" fontId="6" fillId="0" borderId="4" xfId="1" quotePrefix="1" applyNumberFormat="1" applyFont="1" applyFill="1" applyBorder="1" applyAlignment="1">
      <alignment horizontal="left" vertical="center"/>
    </xf>
    <xf numFmtId="179" fontId="6" fillId="0" borderId="4" xfId="1" applyNumberFormat="1" applyFont="1" applyFill="1" applyBorder="1" applyAlignment="1">
      <alignment horizontal="centerContinuous" vertical="center"/>
    </xf>
    <xf numFmtId="0" fontId="6" fillId="8" borderId="4" xfId="0" applyFont="1" applyFill="1" applyBorder="1" applyAlignment="1">
      <alignment horizontal="center" vertical="center"/>
    </xf>
    <xf numFmtId="0" fontId="6" fillId="0" borderId="4" xfId="0" applyFont="1" applyBorder="1" applyAlignment="1">
      <alignment horizontal="center" vertical="center"/>
    </xf>
    <xf numFmtId="181" fontId="6" fillId="8" borderId="4" xfId="1" applyNumberFormat="1" applyFont="1" applyFill="1" applyBorder="1" applyAlignment="1">
      <alignment horizontal="center" vertical="center" shrinkToFit="1"/>
    </xf>
    <xf numFmtId="0" fontId="6" fillId="8" borderId="4" xfId="0" applyFont="1" applyFill="1" applyBorder="1" applyAlignment="1">
      <alignment vertical="center"/>
    </xf>
    <xf numFmtId="0" fontId="6" fillId="8" borderId="4" xfId="7" quotePrefix="1" applyFont="1" applyFill="1" applyBorder="1" applyAlignment="1">
      <alignment horizontal="right" vertical="center" shrinkToFit="1"/>
    </xf>
    <xf numFmtId="40" fontId="6" fillId="8" borderId="4" xfId="1" quotePrefix="1" applyNumberFormat="1" applyFont="1" applyFill="1" applyBorder="1" applyAlignment="1">
      <alignment horizontal="left" vertical="center" shrinkToFit="1"/>
    </xf>
    <xf numFmtId="179" fontId="6" fillId="8" borderId="4" xfId="1" quotePrefix="1" applyNumberFormat="1" applyFont="1" applyFill="1" applyBorder="1" applyAlignment="1">
      <alignment horizontal="left" vertical="center" shrinkToFit="1"/>
    </xf>
    <xf numFmtId="0" fontId="6" fillId="8" borderId="4" xfId="0" applyFont="1" applyFill="1" applyBorder="1" applyAlignment="1">
      <alignment vertical="center" shrinkToFit="1"/>
    </xf>
    <xf numFmtId="0" fontId="6" fillId="8" borderId="4" xfId="0" applyFont="1" applyFill="1" applyBorder="1" applyAlignment="1">
      <alignment horizontal="right" vertical="center"/>
    </xf>
    <xf numFmtId="6" fontId="6" fillId="8" borderId="14" xfId="1" applyNumberFormat="1" applyFont="1" applyFill="1" applyBorder="1" applyAlignment="1" applyProtection="1">
      <alignment horizontal="right" vertical="center"/>
      <protection locked="0"/>
    </xf>
    <xf numFmtId="178" fontId="6" fillId="8" borderId="10" xfId="1" applyNumberFormat="1" applyFont="1" applyFill="1" applyBorder="1" applyAlignment="1">
      <alignment horizontal="right" vertical="center"/>
    </xf>
    <xf numFmtId="0" fontId="17" fillId="0" borderId="0" xfId="24" quotePrefix="1" applyFont="1" applyAlignment="1">
      <alignment horizontal="left" vertical="center"/>
    </xf>
    <xf numFmtId="0" fontId="18" fillId="0" borderId="0" xfId="24" quotePrefix="1" applyFont="1" applyAlignment="1">
      <alignment horizontal="left" vertical="center"/>
    </xf>
    <xf numFmtId="0" fontId="20" fillId="0" borderId="0" xfId="24" applyFont="1" applyAlignment="1">
      <alignment horizontal="left" vertical="center"/>
    </xf>
    <xf numFmtId="0" fontId="18" fillId="0" borderId="0" xfId="24" applyFont="1" applyAlignment="1">
      <alignment horizontal="left" vertical="center"/>
    </xf>
    <xf numFmtId="38" fontId="21" fillId="3" borderId="7" xfId="25" applyFont="1" applyFill="1" applyBorder="1" applyAlignment="1">
      <alignment horizontal="center" vertical="center"/>
    </xf>
    <xf numFmtId="38" fontId="21" fillId="3" borderId="9" xfId="25" applyFont="1" applyFill="1" applyBorder="1" applyAlignment="1">
      <alignment horizontal="center" vertical="center" wrapText="1"/>
    </xf>
    <xf numFmtId="38" fontId="21" fillId="5" borderId="7" xfId="25" applyFont="1" applyFill="1" applyBorder="1" applyAlignment="1">
      <alignment horizontal="center" vertical="center"/>
    </xf>
    <xf numFmtId="38" fontId="21" fillId="5" borderId="9" xfId="25" applyFont="1" applyFill="1" applyBorder="1" applyAlignment="1">
      <alignment horizontal="center" vertical="center" wrapText="1"/>
    </xf>
    <xf numFmtId="0" fontId="14" fillId="8" borderId="0" xfId="0" applyFont="1" applyFill="1" applyAlignment="1">
      <alignment horizontal="centerContinuous" vertical="center"/>
    </xf>
    <xf numFmtId="0" fontId="7" fillId="8" borderId="0" xfId="0" applyFont="1" applyFill="1" applyAlignment="1">
      <alignment horizontal="centerContinuous" vertical="center"/>
    </xf>
    <xf numFmtId="0" fontId="8" fillId="8" borderId="0" xfId="0" applyFont="1" applyFill="1" applyAlignment="1">
      <alignment horizontal="centerContinuous" vertical="center"/>
    </xf>
    <xf numFmtId="0" fontId="10" fillId="8" borderId="0" xfId="0" applyFont="1" applyFill="1"/>
    <xf numFmtId="0" fontId="12" fillId="8" borderId="0" xfId="8" quotePrefix="1" applyFont="1" applyFill="1">
      <alignment vertical="center"/>
    </xf>
    <xf numFmtId="0" fontId="9" fillId="8" borderId="0" xfId="0" quotePrefix="1" applyFont="1" applyFill="1" applyAlignment="1">
      <alignment horizontal="left" vertical="center"/>
    </xf>
    <xf numFmtId="0" fontId="7" fillId="8" borderId="7" xfId="0" applyFont="1" applyFill="1" applyBorder="1" applyAlignment="1">
      <alignment vertical="center"/>
    </xf>
    <xf numFmtId="0" fontId="10" fillId="8" borderId="0" xfId="0" applyFont="1" applyFill="1" applyAlignment="1">
      <alignment vertical="center"/>
    </xf>
    <xf numFmtId="0" fontId="10" fillId="8" borderId="15" xfId="0" quotePrefix="1" applyFont="1" applyFill="1" applyBorder="1" applyAlignment="1">
      <alignment horizontal="center" vertical="center"/>
    </xf>
    <xf numFmtId="0" fontId="10" fillId="8" borderId="8" xfId="0" quotePrefix="1" applyFont="1" applyFill="1" applyBorder="1" applyAlignment="1">
      <alignment horizontal="center" vertical="center"/>
    </xf>
    <xf numFmtId="178" fontId="10" fillId="8" borderId="6" xfId="1" applyNumberFormat="1" applyFont="1" applyFill="1" applyBorder="1" applyAlignment="1">
      <alignment horizontal="left" vertical="center"/>
    </xf>
    <xf numFmtId="177" fontId="10" fillId="8" borderId="6" xfId="0" applyNumberFormat="1" applyFont="1" applyFill="1" applyBorder="1" applyAlignment="1">
      <alignment horizontal="right" vertical="center"/>
    </xf>
    <xf numFmtId="0" fontId="6" fillId="8" borderId="0" xfId="0" applyFont="1" applyFill="1" applyAlignment="1">
      <alignment horizontal="right" vertical="center"/>
    </xf>
    <xf numFmtId="177" fontId="6" fillId="8" borderId="0" xfId="0" applyNumberFormat="1" applyFont="1" applyFill="1" applyAlignment="1">
      <alignment horizontal="left" vertical="center"/>
    </xf>
    <xf numFmtId="0" fontId="6" fillId="8" borderId="0" xfId="0" applyFont="1" applyFill="1" applyAlignment="1">
      <alignment horizontal="left" vertical="center"/>
    </xf>
    <xf numFmtId="0" fontId="6" fillId="8" borderId="0" xfId="0" applyFont="1" applyFill="1" applyAlignment="1">
      <alignment horizontal="center" vertical="center"/>
    </xf>
    <xf numFmtId="49" fontId="6" fillId="8" borderId="5" xfId="0" applyNumberFormat="1" applyFont="1" applyFill="1" applyBorder="1" applyAlignment="1">
      <alignment horizontal="right" vertical="center"/>
    </xf>
    <xf numFmtId="49" fontId="6" fillId="8" borderId="5" xfId="7" applyNumberFormat="1" applyFont="1" applyFill="1" applyBorder="1" applyAlignment="1">
      <alignment horizontal="right" vertical="center"/>
    </xf>
    <xf numFmtId="0" fontId="6" fillId="8" borderId="13" xfId="0" quotePrefix="1" applyFont="1" applyFill="1" applyBorder="1" applyAlignment="1">
      <alignment horizontal="center" vertical="center"/>
    </xf>
    <xf numFmtId="0" fontId="6" fillId="8" borderId="1" xfId="0" applyFont="1" applyFill="1" applyBorder="1" applyAlignment="1">
      <alignment horizontal="center" vertical="center"/>
    </xf>
    <xf numFmtId="0" fontId="6" fillId="8" borderId="1" xfId="0" quotePrefix="1" applyFont="1" applyFill="1" applyBorder="1" applyAlignment="1">
      <alignment horizontal="center" vertical="center"/>
    </xf>
    <xf numFmtId="0" fontId="6" fillId="8" borderId="4" xfId="0" quotePrefix="1" applyFont="1" applyFill="1" applyBorder="1" applyAlignment="1">
      <alignment horizontal="left" vertical="center"/>
    </xf>
    <xf numFmtId="179" fontId="6" fillId="8" borderId="4" xfId="1" quotePrefix="1" applyNumberFormat="1" applyFont="1" applyFill="1" applyBorder="1" applyAlignment="1">
      <alignment vertical="center"/>
    </xf>
    <xf numFmtId="0" fontId="6" fillId="8" borderId="14" xfId="0" quotePrefix="1" applyFont="1" applyFill="1" applyBorder="1" applyAlignment="1">
      <alignment horizontal="centerContinuous" vertical="center"/>
    </xf>
    <xf numFmtId="0" fontId="6" fillId="8" borderId="6" xfId="0" quotePrefix="1" applyFont="1" applyFill="1" applyBorder="1" applyAlignment="1">
      <alignment horizontal="centerContinuous" vertical="center"/>
    </xf>
    <xf numFmtId="0" fontId="6" fillId="8" borderId="2" xfId="0" applyFont="1" applyFill="1" applyBorder="1" applyAlignment="1">
      <alignment horizontal="right" vertical="center"/>
    </xf>
    <xf numFmtId="0" fontId="6" fillId="8" borderId="2" xfId="0" quotePrefix="1" applyFont="1" applyFill="1" applyBorder="1" applyAlignment="1">
      <alignment horizontal="left" vertical="center"/>
    </xf>
    <xf numFmtId="0" fontId="6" fillId="8" borderId="2" xfId="0" applyFont="1" applyFill="1" applyBorder="1" applyAlignment="1">
      <alignment vertical="center"/>
    </xf>
    <xf numFmtId="0" fontId="6" fillId="8" borderId="2" xfId="0" applyFont="1" applyFill="1" applyBorder="1" applyAlignment="1">
      <alignment horizontal="center" vertical="center"/>
    </xf>
    <xf numFmtId="38" fontId="6" fillId="8" borderId="2" xfId="1" applyFont="1" applyFill="1" applyBorder="1" applyAlignment="1">
      <alignment vertical="center"/>
    </xf>
    <xf numFmtId="0" fontId="6" fillId="8" borderId="8" xfId="0" quotePrefix="1" applyFont="1" applyFill="1" applyBorder="1" applyAlignment="1">
      <alignment horizontal="centerContinuous" vertical="center"/>
    </xf>
    <xf numFmtId="0" fontId="6" fillId="8" borderId="4" xfId="0" applyFont="1" applyFill="1" applyBorder="1" applyAlignment="1">
      <alignment horizontal="left" vertical="center" shrinkToFit="1"/>
    </xf>
    <xf numFmtId="0" fontId="6" fillId="8" borderId="6" xfId="0" applyFont="1" applyFill="1" applyBorder="1" applyAlignment="1">
      <alignment vertical="center"/>
    </xf>
    <xf numFmtId="38" fontId="21" fillId="2" borderId="24" xfId="25" applyFont="1" applyFill="1" applyBorder="1" applyAlignment="1">
      <alignment horizontal="center" vertical="center" wrapText="1"/>
    </xf>
    <xf numFmtId="38" fontId="21" fillId="2" borderId="26" xfId="25" quotePrefix="1" applyFont="1" applyFill="1" applyBorder="1" applyAlignment="1">
      <alignment horizontal="center" vertical="center"/>
    </xf>
    <xf numFmtId="38" fontId="21" fillId="2" borderId="12" xfId="25" quotePrefix="1" applyFont="1" applyFill="1" applyBorder="1" applyAlignment="1">
      <alignment horizontal="center" vertical="center"/>
    </xf>
    <xf numFmtId="38" fontId="21" fillId="2" borderId="25" xfId="25" quotePrefix="1" applyFont="1" applyFill="1" applyBorder="1" applyAlignment="1">
      <alignment horizontal="left" vertical="center"/>
    </xf>
    <xf numFmtId="0" fontId="29" fillId="9" borderId="0" xfId="0" applyFont="1" applyFill="1" applyAlignment="1">
      <alignment horizontal="left" vertical="center" wrapText="1"/>
    </xf>
    <xf numFmtId="0" fontId="12" fillId="9" borderId="0" xfId="0" quotePrefix="1" applyFont="1" applyFill="1" applyAlignment="1">
      <alignment horizontal="left" vertical="center" wrapText="1"/>
    </xf>
    <xf numFmtId="0" fontId="29" fillId="9" borderId="0" xfId="0" applyFont="1" applyFill="1" applyAlignment="1">
      <alignment vertical="center" wrapText="1"/>
    </xf>
    <xf numFmtId="0" fontId="6" fillId="9" borderId="4" xfId="0" quotePrefix="1" applyFont="1" applyFill="1" applyBorder="1" applyAlignment="1">
      <alignment horizontal="left" vertical="center"/>
    </xf>
    <xf numFmtId="0" fontId="0" fillId="9" borderId="0" xfId="0" applyFill="1" applyAlignment="1">
      <alignment wrapText="1"/>
    </xf>
    <xf numFmtId="0" fontId="0" fillId="9" borderId="0" xfId="0" applyFill="1"/>
    <xf numFmtId="49" fontId="6" fillId="0" borderId="6" xfId="0" quotePrefix="1" applyNumberFormat="1" applyFont="1" applyBorder="1" applyAlignment="1">
      <alignment horizontal="right" vertical="center"/>
    </xf>
    <xf numFmtId="0" fontId="6" fillId="0" borderId="6" xfId="0" quotePrefix="1" applyFont="1" applyBorder="1" applyAlignment="1">
      <alignment horizontal="left" vertical="center"/>
    </xf>
    <xf numFmtId="179" fontId="6" fillId="0" borderId="6" xfId="1" quotePrefix="1" applyNumberFormat="1" applyFont="1" applyFill="1" applyBorder="1" applyAlignment="1">
      <alignment vertical="center"/>
    </xf>
    <xf numFmtId="0" fontId="6" fillId="0" borderId="31" xfId="0" applyFont="1" applyBorder="1" applyAlignment="1">
      <alignment horizontal="center" vertical="center" shrinkToFit="1"/>
    </xf>
    <xf numFmtId="38" fontId="6" fillId="0" borderId="6" xfId="1" applyFont="1" applyFill="1" applyBorder="1" applyAlignment="1">
      <alignment horizontal="right" vertical="center" shrinkToFit="1"/>
    </xf>
    <xf numFmtId="6" fontId="6" fillId="0" borderId="14" xfId="1" applyNumberFormat="1" applyFont="1" applyFill="1" applyBorder="1" applyAlignment="1">
      <alignment horizontal="right" vertical="center" shrinkToFit="1"/>
    </xf>
    <xf numFmtId="38" fontId="21" fillId="8" borderId="25" xfId="25" applyFont="1" applyFill="1" applyBorder="1" applyAlignment="1">
      <alignment horizontal="center" vertical="center" wrapText="1"/>
    </xf>
    <xf numFmtId="38" fontId="21" fillId="8" borderId="12" xfId="25" applyFont="1" applyFill="1" applyBorder="1" applyAlignment="1">
      <alignment horizontal="center" vertical="center" wrapText="1"/>
    </xf>
    <xf numFmtId="38" fontId="21" fillId="8" borderId="12" xfId="25" applyFont="1" applyFill="1" applyBorder="1" applyAlignment="1">
      <alignment horizontal="center" vertical="center"/>
    </xf>
    <xf numFmtId="38" fontId="21" fillId="8" borderId="26" xfId="25" quotePrefix="1" applyFont="1" applyFill="1" applyBorder="1" applyAlignment="1">
      <alignment horizontal="center" vertical="center"/>
    </xf>
    <xf numFmtId="38" fontId="21" fillId="8" borderId="24" xfId="25" applyFont="1" applyFill="1" applyBorder="1" applyAlignment="1">
      <alignment horizontal="center" vertical="center" wrapText="1"/>
    </xf>
    <xf numFmtId="0" fontId="30" fillId="0" borderId="0" xfId="0" applyFont="1" applyAlignment="1">
      <alignment vertical="center"/>
    </xf>
    <xf numFmtId="0" fontId="6" fillId="8" borderId="5" xfId="0" applyFont="1" applyFill="1" applyBorder="1" applyAlignment="1">
      <alignment horizontal="left" vertical="center"/>
    </xf>
    <xf numFmtId="181" fontId="6" fillId="8" borderId="3" xfId="0" applyNumberFormat="1" applyFont="1" applyFill="1" applyBorder="1" applyAlignment="1">
      <alignment horizontal="center" vertical="center" shrinkToFit="1"/>
    </xf>
    <xf numFmtId="38" fontId="19" fillId="0" borderId="62" xfId="25" applyFont="1" applyFill="1" applyBorder="1" applyAlignment="1">
      <alignment horizontal="center" vertical="center"/>
    </xf>
    <xf numFmtId="38" fontId="19" fillId="0" borderId="63" xfId="25" applyFont="1" applyFill="1" applyBorder="1" applyAlignment="1">
      <alignment horizontal="center" vertical="center"/>
    </xf>
    <xf numFmtId="0" fontId="33" fillId="0" borderId="0" xfId="0" applyFont="1" applyAlignment="1">
      <alignment vertical="center"/>
    </xf>
    <xf numFmtId="0" fontId="34" fillId="0" borderId="0" xfId="0" applyFont="1"/>
    <xf numFmtId="0" fontId="26" fillId="0" borderId="0" xfId="0" applyFont="1" applyAlignment="1">
      <alignment horizontal="center" wrapText="1"/>
    </xf>
    <xf numFmtId="0" fontId="26" fillId="0" borderId="0" xfId="0" applyFont="1" applyAlignment="1">
      <alignment horizontal="center"/>
    </xf>
    <xf numFmtId="0" fontId="35" fillId="0" borderId="0" xfId="0" applyFont="1"/>
    <xf numFmtId="38" fontId="6" fillId="8" borderId="11" xfId="1" applyFont="1" applyFill="1" applyBorder="1" applyAlignment="1">
      <alignment vertical="center"/>
    </xf>
    <xf numFmtId="38" fontId="6" fillId="8" borderId="4" xfId="1" applyFont="1" applyFill="1" applyBorder="1" applyAlignment="1">
      <alignment horizontal="right" vertical="center"/>
    </xf>
    <xf numFmtId="0" fontId="36" fillId="0" borderId="0" xfId="0" applyFont="1" applyAlignment="1">
      <alignment vertical="center"/>
    </xf>
    <xf numFmtId="38" fontId="6" fillId="0" borderId="11" xfId="1" applyFont="1" applyFill="1" applyBorder="1" applyAlignment="1">
      <alignment vertical="center"/>
    </xf>
    <xf numFmtId="0" fontId="37" fillId="9" borderId="0" xfId="0" applyFont="1" applyFill="1" applyAlignment="1">
      <alignment horizontal="left" vertical="center" wrapText="1"/>
    </xf>
    <xf numFmtId="0" fontId="37" fillId="9" borderId="4" xfId="0" quotePrefix="1" applyFont="1" applyFill="1" applyBorder="1" applyAlignment="1">
      <alignment horizontal="left" vertical="center" wrapText="1"/>
    </xf>
    <xf numFmtId="38" fontId="37" fillId="9" borderId="0" xfId="1" applyFont="1" applyFill="1" applyAlignment="1">
      <alignment horizontal="left" vertical="center" wrapText="1"/>
    </xf>
    <xf numFmtId="0" fontId="37" fillId="0" borderId="0" xfId="0" applyFont="1" applyAlignment="1">
      <alignment horizontal="left" vertical="center" wrapText="1"/>
    </xf>
    <xf numFmtId="38" fontId="37" fillId="0" borderId="0" xfId="1" applyFont="1" applyAlignment="1">
      <alignment horizontal="left" vertical="center" wrapText="1"/>
    </xf>
    <xf numFmtId="0" fontId="37" fillId="5" borderId="0" xfId="0" applyFont="1" applyFill="1" applyAlignment="1">
      <alignment horizontal="left" vertical="center" wrapText="1"/>
    </xf>
    <xf numFmtId="38" fontId="37" fillId="5" borderId="0" xfId="1" applyFont="1" applyFill="1" applyAlignment="1">
      <alignment horizontal="left" vertical="center" wrapText="1"/>
    </xf>
    <xf numFmtId="38" fontId="37" fillId="0" borderId="29" xfId="25" applyFont="1" applyFill="1" applyBorder="1" applyAlignment="1">
      <alignment horizontal="left" vertical="center" wrapText="1"/>
    </xf>
    <xf numFmtId="38" fontId="37" fillId="0" borderId="0" xfId="1" applyFont="1" applyFill="1" applyBorder="1" applyAlignment="1">
      <alignment horizontal="left" vertical="center" wrapText="1"/>
    </xf>
    <xf numFmtId="38" fontId="37" fillId="0" borderId="0" xfId="25" applyFont="1" applyFill="1" applyBorder="1" applyAlignment="1">
      <alignment horizontal="left" vertical="center" wrapText="1"/>
    </xf>
    <xf numFmtId="38" fontId="19" fillId="0" borderId="28" xfId="25" applyFont="1" applyFill="1" applyBorder="1" applyAlignment="1">
      <alignment horizontal="center" vertical="center"/>
    </xf>
    <xf numFmtId="0" fontId="29" fillId="9" borderId="0" xfId="0" quotePrefix="1" applyFont="1" applyFill="1" applyAlignment="1">
      <alignment horizontal="left" vertical="center" wrapText="1"/>
    </xf>
    <xf numFmtId="179" fontId="6" fillId="0" borderId="5" xfId="1" quotePrefix="1" applyNumberFormat="1" applyFont="1" applyFill="1" applyBorder="1" applyAlignment="1">
      <alignment vertical="center"/>
    </xf>
    <xf numFmtId="179" fontId="6" fillId="0" borderId="8" xfId="1" quotePrefix="1" applyNumberFormat="1" applyFont="1" applyFill="1" applyBorder="1" applyAlignment="1">
      <alignment vertical="center"/>
    </xf>
    <xf numFmtId="0" fontId="36" fillId="0" borderId="0" xfId="0" quotePrefix="1" applyFont="1" applyAlignment="1">
      <alignment vertical="center"/>
    </xf>
    <xf numFmtId="38" fontId="39" fillId="4" borderId="17" xfId="25" applyFont="1" applyFill="1" applyBorder="1" applyAlignment="1">
      <alignment horizontal="center" vertical="center" wrapText="1"/>
    </xf>
    <xf numFmtId="0" fontId="38" fillId="0" borderId="0" xfId="24" quotePrefix="1" applyFont="1" applyAlignment="1">
      <alignment horizontal="center" vertical="center"/>
    </xf>
    <xf numFmtId="0" fontId="39" fillId="0" borderId="0" xfId="0" applyFont="1" applyAlignment="1">
      <alignment horizontal="center"/>
    </xf>
    <xf numFmtId="0" fontId="39" fillId="0" borderId="0" xfId="0" applyFont="1" applyAlignment="1">
      <alignment horizontal="center" wrapText="1"/>
    </xf>
    <xf numFmtId="0" fontId="39" fillId="0" borderId="17" xfId="6" quotePrefix="1" applyFont="1" applyBorder="1" applyAlignment="1">
      <alignment horizontal="center" vertical="center"/>
    </xf>
    <xf numFmtId="38" fontId="39" fillId="0" borderId="0" xfId="1" applyFont="1" applyAlignment="1">
      <alignment horizontal="center"/>
    </xf>
    <xf numFmtId="0" fontId="39" fillId="0" borderId="0" xfId="24" applyFont="1" applyAlignment="1">
      <alignment horizontal="center" vertical="center"/>
    </xf>
    <xf numFmtId="0" fontId="40" fillId="0" borderId="0" xfId="24" applyFont="1" applyAlignment="1">
      <alignment horizontal="center" vertical="center"/>
    </xf>
    <xf numFmtId="0" fontId="39" fillId="9" borderId="17" xfId="0" applyFont="1" applyFill="1" applyBorder="1" applyAlignment="1">
      <alignment horizontal="center"/>
    </xf>
    <xf numFmtId="0" fontId="39" fillId="4" borderId="17" xfId="6" quotePrefix="1" applyFont="1" applyFill="1" applyBorder="1" applyAlignment="1">
      <alignment horizontal="center" vertical="center"/>
    </xf>
    <xf numFmtId="0" fontId="39" fillId="9" borderId="17" xfId="0" applyFont="1" applyFill="1" applyBorder="1" applyAlignment="1">
      <alignment horizontal="center" vertical="center" wrapText="1"/>
    </xf>
    <xf numFmtId="38" fontId="39" fillId="0" borderId="17" xfId="1" applyFont="1" applyFill="1" applyBorder="1" applyAlignment="1">
      <alignment horizontal="center" vertical="center"/>
    </xf>
    <xf numFmtId="38" fontId="39" fillId="0" borderId="17" xfId="1" applyFont="1" applyBorder="1" applyAlignment="1">
      <alignment horizontal="center"/>
    </xf>
    <xf numFmtId="0" fontId="39" fillId="0" borderId="17" xfId="0" applyFont="1" applyBorder="1" applyAlignment="1">
      <alignment horizontal="center" vertical="center"/>
    </xf>
    <xf numFmtId="38" fontId="39" fillId="0" borderId="17" xfId="1" applyFont="1" applyBorder="1" applyAlignment="1">
      <alignment horizontal="center" vertical="center"/>
    </xf>
    <xf numFmtId="3" fontId="0" fillId="0" borderId="0" xfId="0" applyNumberFormat="1"/>
    <xf numFmtId="0" fontId="6" fillId="0" borderId="4" xfId="0" applyFont="1" applyBorder="1" applyAlignment="1">
      <alignment vertical="center" shrinkToFit="1"/>
    </xf>
    <xf numFmtId="0" fontId="6" fillId="0" borderId="6" xfId="0" applyFont="1" applyBorder="1" applyAlignment="1">
      <alignment horizontal="center" vertical="center"/>
    </xf>
    <xf numFmtId="0" fontId="6" fillId="8" borderId="6" xfId="0" applyFont="1" applyFill="1" applyBorder="1" applyAlignment="1">
      <alignment horizontal="center" vertical="center"/>
    </xf>
    <xf numFmtId="0" fontId="6" fillId="8" borderId="10" xfId="0" applyFont="1" applyFill="1" applyBorder="1" applyAlignment="1">
      <alignment horizontal="center" vertical="center"/>
    </xf>
    <xf numFmtId="0" fontId="41" fillId="0" borderId="0" xfId="0" applyFont="1" applyAlignment="1">
      <alignment vertical="center"/>
    </xf>
    <xf numFmtId="0" fontId="42" fillId="0" borderId="0" xfId="0" applyFont="1" applyAlignment="1">
      <alignment vertical="center"/>
    </xf>
    <xf numFmtId="38" fontId="43" fillId="0" borderId="17" xfId="25" applyFont="1" applyFill="1" applyBorder="1" applyAlignment="1">
      <alignment horizontal="center" vertical="center"/>
    </xf>
    <xf numFmtId="38" fontId="43" fillId="0" borderId="24" xfId="25" applyFont="1" applyFill="1" applyBorder="1" applyAlignment="1">
      <alignment horizontal="center" vertical="center"/>
    </xf>
    <xf numFmtId="38" fontId="43" fillId="0" borderId="37" xfId="25" applyFont="1" applyFill="1" applyBorder="1" applyAlignment="1">
      <alignment horizontal="center" vertical="center"/>
    </xf>
    <xf numFmtId="38" fontId="43" fillId="0" borderId="19" xfId="25" applyFont="1" applyFill="1" applyBorder="1" applyAlignment="1">
      <alignment horizontal="center" vertical="center"/>
    </xf>
    <xf numFmtId="38" fontId="43" fillId="0" borderId="35" xfId="25" applyFont="1" applyFill="1" applyBorder="1" applyAlignment="1">
      <alignment horizontal="center" vertical="center"/>
    </xf>
    <xf numFmtId="38" fontId="43" fillId="0" borderId="18" xfId="25" applyFont="1" applyFill="1" applyBorder="1" applyAlignment="1">
      <alignment horizontal="center" vertical="center"/>
    </xf>
    <xf numFmtId="38" fontId="43" fillId="0" borderId="22" xfId="25" applyFont="1" applyFill="1" applyBorder="1" applyAlignment="1">
      <alignment horizontal="center" vertical="center"/>
    </xf>
    <xf numFmtId="38" fontId="43" fillId="0" borderId="25" xfId="25" applyFont="1" applyFill="1" applyBorder="1" applyAlignment="1">
      <alignment horizontal="center" vertical="center"/>
    </xf>
    <xf numFmtId="38" fontId="43" fillId="0" borderId="17" xfId="25" applyFont="1" applyBorder="1" applyAlignment="1">
      <alignment horizontal="center" vertical="center"/>
    </xf>
    <xf numFmtId="38" fontId="43" fillId="0" borderId="64" xfId="25" applyFont="1" applyFill="1" applyBorder="1" applyAlignment="1">
      <alignment horizontal="center" vertical="center"/>
    </xf>
    <xf numFmtId="38" fontId="43" fillId="0" borderId="43" xfId="25" applyFont="1" applyBorder="1" applyAlignment="1">
      <alignment vertical="center"/>
    </xf>
    <xf numFmtId="38" fontId="43" fillId="0" borderId="12" xfId="25" applyFont="1" applyFill="1" applyBorder="1" applyAlignment="1">
      <alignment horizontal="center" vertical="center"/>
    </xf>
    <xf numFmtId="38" fontId="43" fillId="0" borderId="26" xfId="25" applyFont="1" applyBorder="1" applyAlignment="1">
      <alignment vertical="center"/>
    </xf>
    <xf numFmtId="38" fontId="43" fillId="0" borderId="12" xfId="25" applyFont="1" applyBorder="1" applyAlignment="1">
      <alignment vertical="center"/>
    </xf>
    <xf numFmtId="38" fontId="43" fillId="0" borderId="49" xfId="25" applyFont="1" applyBorder="1" applyAlignment="1">
      <alignment vertical="center"/>
    </xf>
    <xf numFmtId="38" fontId="43" fillId="0" borderId="0" xfId="25" applyFont="1" applyFill="1" applyBorder="1" applyAlignment="1">
      <alignment horizontal="center" vertical="center"/>
    </xf>
    <xf numFmtId="38" fontId="43" fillId="0" borderId="30" xfId="25" applyFont="1" applyBorder="1" applyAlignment="1">
      <alignment vertical="center"/>
    </xf>
    <xf numFmtId="38" fontId="43" fillId="0" borderId="0" xfId="25" applyFont="1" applyBorder="1" applyAlignment="1">
      <alignment vertical="center"/>
    </xf>
    <xf numFmtId="38" fontId="43" fillId="0" borderId="53" xfId="25" applyFont="1" applyBorder="1" applyAlignment="1">
      <alignment vertical="center"/>
    </xf>
    <xf numFmtId="38" fontId="43" fillId="0" borderId="57" xfId="25" applyFont="1" applyBorder="1" applyAlignment="1">
      <alignment vertical="center"/>
    </xf>
    <xf numFmtId="38" fontId="43" fillId="0" borderId="7" xfId="25" applyFont="1" applyFill="1" applyBorder="1" applyAlignment="1">
      <alignment horizontal="center" vertical="center"/>
    </xf>
    <xf numFmtId="0" fontId="44" fillId="0" borderId="0" xfId="24" applyFont="1" applyAlignment="1">
      <alignment horizontal="left" vertical="center"/>
    </xf>
    <xf numFmtId="0" fontId="6" fillId="0" borderId="4" xfId="7" applyFont="1" applyBorder="1" applyAlignment="1">
      <alignment horizontal="center" vertical="center"/>
    </xf>
    <xf numFmtId="49" fontId="6" fillId="0" borderId="5" xfId="7" applyNumberFormat="1" applyFont="1" applyBorder="1" applyAlignment="1">
      <alignment horizontal="center" vertical="center"/>
    </xf>
    <xf numFmtId="49" fontId="6" fillId="8" borderId="4" xfId="0" quotePrefix="1" applyNumberFormat="1" applyFont="1" applyFill="1" applyBorder="1" applyAlignment="1">
      <alignment horizontal="center" vertical="center"/>
    </xf>
    <xf numFmtId="49" fontId="6" fillId="0" borderId="5" xfId="0" quotePrefix="1" applyNumberFormat="1" applyFont="1" applyBorder="1" applyAlignment="1">
      <alignment horizontal="center" vertical="center"/>
    </xf>
    <xf numFmtId="49" fontId="6" fillId="8" borderId="5" xfId="0" quotePrefix="1" applyNumberFormat="1" applyFont="1" applyFill="1" applyBorder="1" applyAlignment="1">
      <alignment horizontal="center" vertical="center"/>
    </xf>
    <xf numFmtId="49" fontId="6" fillId="0" borderId="7" xfId="0" applyNumberFormat="1" applyFont="1" applyBorder="1" applyAlignment="1">
      <alignment horizontal="center" vertical="center"/>
    </xf>
    <xf numFmtId="49" fontId="6" fillId="0" borderId="5" xfId="0" quotePrefix="1" applyNumberFormat="1" applyFont="1" applyBorder="1" applyAlignment="1" applyProtection="1">
      <alignment horizontal="center" vertical="center"/>
      <protection locked="0"/>
    </xf>
    <xf numFmtId="49" fontId="6" fillId="0" borderId="6" xfId="0" quotePrefix="1" applyNumberFormat="1" applyFont="1" applyBorder="1" applyAlignment="1">
      <alignment horizontal="center" vertical="center"/>
    </xf>
    <xf numFmtId="49" fontId="6" fillId="8" borderId="5" xfId="0" applyNumberFormat="1" applyFont="1" applyFill="1" applyBorder="1" applyAlignment="1">
      <alignment horizontal="center" vertical="center"/>
    </xf>
    <xf numFmtId="49" fontId="6" fillId="8" borderId="5" xfId="7" applyNumberFormat="1" applyFont="1" applyFill="1" applyBorder="1" applyAlignment="1">
      <alignment horizontal="center" vertical="center"/>
    </xf>
    <xf numFmtId="0" fontId="6" fillId="8" borderId="11" xfId="0" applyFont="1" applyFill="1" applyBorder="1" applyAlignment="1">
      <alignment horizontal="right" vertical="center"/>
    </xf>
    <xf numFmtId="38" fontId="19" fillId="0" borderId="17" xfId="25" applyFont="1" applyFill="1" applyBorder="1" applyAlignment="1">
      <alignment horizontal="left" vertical="center"/>
    </xf>
    <xf numFmtId="0" fontId="0" fillId="0" borderId="27" xfId="0" applyBorder="1" applyAlignment="1">
      <alignment horizontal="center" vertical="center"/>
    </xf>
    <xf numFmtId="6" fontId="7" fillId="0" borderId="0" xfId="30" applyFont="1" applyAlignment="1">
      <alignment vertical="center"/>
    </xf>
    <xf numFmtId="0" fontId="7" fillId="8" borderId="17" xfId="0" applyFont="1" applyFill="1" applyBorder="1" applyAlignment="1">
      <alignment horizontal="left" vertical="center"/>
    </xf>
    <xf numFmtId="0" fontId="7" fillId="0" borderId="25" xfId="0" applyFont="1" applyBorder="1" applyAlignment="1">
      <alignment horizontal="left" vertical="center"/>
    </xf>
    <xf numFmtId="0" fontId="7" fillId="0" borderId="17" xfId="0" applyFont="1" applyBorder="1" applyAlignment="1">
      <alignment horizontal="left" vertical="center"/>
    </xf>
    <xf numFmtId="0" fontId="7" fillId="8" borderId="25" xfId="0" applyFont="1" applyFill="1" applyBorder="1" applyAlignment="1">
      <alignment horizontal="left" vertical="center"/>
    </xf>
    <xf numFmtId="0" fontId="7" fillId="8" borderId="12" xfId="0" applyFont="1" applyFill="1" applyBorder="1" applyAlignment="1">
      <alignment horizontal="left" vertical="center"/>
    </xf>
    <xf numFmtId="0" fontId="7" fillId="8" borderId="26" xfId="0" applyFont="1" applyFill="1" applyBorder="1" applyAlignment="1">
      <alignment horizontal="left" vertical="center"/>
    </xf>
    <xf numFmtId="6" fontId="7" fillId="0" borderId="0" xfId="30" applyFont="1">
      <alignment vertical="center"/>
    </xf>
    <xf numFmtId="0" fontId="6" fillId="0" borderId="4" xfId="0" applyFont="1" applyBorder="1" applyAlignment="1">
      <alignment horizontal="center" vertical="center" shrinkToFit="1"/>
    </xf>
    <xf numFmtId="0" fontId="6" fillId="8" borderId="4" xfId="0" applyFont="1" applyFill="1" applyBorder="1" applyAlignment="1">
      <alignment horizontal="center" vertical="center" shrinkToFit="1"/>
    </xf>
    <xf numFmtId="0" fontId="6" fillId="0" borderId="6" xfId="0" applyFont="1" applyBorder="1" applyAlignment="1">
      <alignment vertical="center" shrinkToFit="1"/>
    </xf>
    <xf numFmtId="0" fontId="46" fillId="0" borderId="0" xfId="0" applyFont="1" applyAlignment="1">
      <alignment vertical="center"/>
    </xf>
    <xf numFmtId="0" fontId="47" fillId="0" borderId="0" xfId="0" applyFont="1"/>
    <xf numFmtId="38" fontId="43" fillId="0" borderId="27" xfId="25" applyFont="1" applyFill="1" applyBorder="1" applyAlignment="1">
      <alignment horizontal="center" vertical="center"/>
    </xf>
    <xf numFmtId="38" fontId="43" fillId="0" borderId="29" xfId="25" applyFont="1" applyFill="1" applyBorder="1" applyAlignment="1">
      <alignment horizontal="center" vertical="center"/>
    </xf>
    <xf numFmtId="38" fontId="43" fillId="0" borderId="39" xfId="25" applyFont="1" applyFill="1" applyBorder="1" applyAlignment="1">
      <alignment horizontal="center" vertical="center"/>
    </xf>
    <xf numFmtId="38" fontId="43" fillId="0" borderId="36" xfId="25" applyFont="1" applyFill="1" applyBorder="1" applyAlignment="1">
      <alignment horizontal="center" vertical="center"/>
    </xf>
    <xf numFmtId="38" fontId="43" fillId="0" borderId="34" xfId="25" applyFont="1" applyFill="1" applyBorder="1" applyAlignment="1">
      <alignment horizontal="center" vertical="center"/>
    </xf>
    <xf numFmtId="38" fontId="43" fillId="0" borderId="56" xfId="25" applyFont="1" applyFill="1" applyBorder="1" applyAlignment="1">
      <alignment horizontal="center" vertical="center"/>
    </xf>
    <xf numFmtId="38" fontId="43" fillId="0" borderId="17" xfId="25" applyFont="1" applyBorder="1" applyAlignment="1">
      <alignment vertical="center"/>
    </xf>
    <xf numFmtId="38" fontId="43" fillId="0" borderId="17" xfId="29" applyFont="1" applyBorder="1" applyAlignment="1">
      <alignment vertical="center"/>
    </xf>
    <xf numFmtId="38" fontId="43" fillId="0" borderId="25" xfId="29" applyFont="1" applyBorder="1" applyAlignment="1">
      <alignment vertical="center"/>
    </xf>
    <xf numFmtId="38" fontId="43" fillId="0" borderId="43" xfId="29" applyFont="1" applyBorder="1" applyAlignment="1">
      <alignment vertical="center"/>
    </xf>
    <xf numFmtId="38" fontId="43" fillId="0" borderId="24" xfId="29" applyFont="1" applyBorder="1" applyAlignment="1">
      <alignment vertical="center"/>
    </xf>
    <xf numFmtId="38" fontId="43" fillId="0" borderId="27" xfId="25" applyFont="1" applyBorder="1" applyAlignment="1">
      <alignment vertical="center"/>
    </xf>
    <xf numFmtId="38" fontId="43" fillId="0" borderId="20" xfId="29" applyFont="1" applyBorder="1" applyAlignment="1">
      <alignment vertical="center"/>
    </xf>
    <xf numFmtId="38" fontId="43" fillId="0" borderId="44" xfId="29" applyFont="1" applyBorder="1" applyAlignment="1">
      <alignment vertical="center"/>
    </xf>
    <xf numFmtId="38" fontId="43" fillId="0" borderId="24" xfId="25" applyFont="1" applyBorder="1" applyAlignment="1">
      <alignment vertical="center"/>
    </xf>
    <xf numFmtId="38" fontId="43" fillId="0" borderId="45" xfId="25" applyFont="1" applyBorder="1" applyAlignment="1">
      <alignment vertical="center"/>
    </xf>
    <xf numFmtId="38" fontId="43" fillId="0" borderId="48" xfId="25" applyFont="1" applyBorder="1" applyAlignment="1">
      <alignment vertical="center"/>
    </xf>
    <xf numFmtId="0" fontId="26" fillId="6" borderId="0" xfId="0" applyFont="1" applyFill="1" applyAlignment="1">
      <alignment horizontal="left" wrapText="1"/>
    </xf>
    <xf numFmtId="0" fontId="49" fillId="8" borderId="4" xfId="0" quotePrefix="1" applyFont="1" applyFill="1" applyBorder="1" applyAlignment="1">
      <alignment horizontal="left" vertical="center"/>
    </xf>
    <xf numFmtId="38" fontId="19" fillId="0" borderId="23" xfId="25" applyFont="1" applyFill="1" applyBorder="1" applyAlignment="1">
      <alignment horizontal="center" vertical="center"/>
    </xf>
    <xf numFmtId="0" fontId="10" fillId="0" borderId="4" xfId="0" applyFont="1" applyBorder="1" applyAlignment="1">
      <alignment vertical="center" shrinkToFit="1"/>
    </xf>
    <xf numFmtId="180" fontId="9" fillId="8" borderId="0" xfId="0" quotePrefix="1" applyNumberFormat="1" applyFont="1" applyFill="1" applyAlignment="1">
      <alignment horizontal="center" vertical="center"/>
    </xf>
    <xf numFmtId="0" fontId="0" fillId="0" borderId="0" xfId="0" applyAlignment="1">
      <alignment horizontal="center" vertical="center"/>
    </xf>
    <xf numFmtId="38" fontId="43" fillId="0" borderId="0" xfId="25" applyFont="1" applyBorder="1" applyAlignment="1">
      <alignment horizontal="center" vertical="center"/>
    </xf>
    <xf numFmtId="38" fontId="43" fillId="0" borderId="0" xfId="29" applyFont="1" applyBorder="1" applyAlignment="1">
      <alignment vertical="center"/>
    </xf>
    <xf numFmtId="0" fontId="12" fillId="0" borderId="0" xfId="0" applyFont="1" applyAlignment="1">
      <alignment horizontal="left" vertical="center"/>
    </xf>
    <xf numFmtId="0" fontId="49" fillId="0" borderId="4" xfId="0" quotePrefix="1" applyFont="1" applyBorder="1" applyAlignment="1">
      <alignment horizontal="left" vertical="center"/>
    </xf>
    <xf numFmtId="0" fontId="0" fillId="0" borderId="4" xfId="0" applyBorder="1" applyAlignment="1">
      <alignment vertical="center" shrinkToFit="1"/>
    </xf>
    <xf numFmtId="0" fontId="10" fillId="0" borderId="32" xfId="0" applyFont="1" applyBorder="1" applyAlignment="1">
      <alignment vertical="center" shrinkToFit="1"/>
    </xf>
    <xf numFmtId="0" fontId="6" fillId="0" borderId="32" xfId="0" applyFont="1" applyBorder="1" applyAlignment="1">
      <alignment vertical="center"/>
    </xf>
    <xf numFmtId="0" fontId="37" fillId="9" borderId="0" xfId="0" applyFont="1" applyFill="1" applyAlignment="1">
      <alignment horizontal="left" vertical="center"/>
    </xf>
    <xf numFmtId="0" fontId="14" fillId="10" borderId="0" xfId="0" applyFont="1" applyFill="1" applyAlignment="1">
      <alignment horizontal="centerContinuous" vertical="center"/>
    </xf>
    <xf numFmtId="0" fontId="7" fillId="10" borderId="0" xfId="0" applyFont="1" applyFill="1" applyAlignment="1">
      <alignment horizontal="centerContinuous" vertical="center"/>
    </xf>
    <xf numFmtId="0" fontId="8" fillId="10" borderId="0" xfId="0" applyFont="1" applyFill="1" applyAlignment="1">
      <alignment horizontal="centerContinuous" vertical="center"/>
    </xf>
    <xf numFmtId="0" fontId="41" fillId="10" borderId="0" xfId="0" applyFont="1" applyFill="1" applyAlignment="1">
      <alignment horizontal="left" vertical="center"/>
    </xf>
    <xf numFmtId="0" fontId="7" fillId="10" borderId="0" xfId="0" applyFont="1" applyFill="1" applyAlignment="1">
      <alignment vertical="center"/>
    </xf>
    <xf numFmtId="0" fontId="42" fillId="10" borderId="0" xfId="0" applyFont="1" applyFill="1" applyAlignment="1">
      <alignment vertical="center"/>
    </xf>
    <xf numFmtId="0" fontId="10" fillId="10" borderId="0" xfId="0" applyFont="1" applyFill="1" applyAlignment="1">
      <alignment vertical="center"/>
    </xf>
    <xf numFmtId="0" fontId="10" fillId="10" borderId="0" xfId="0" applyFont="1" applyFill="1"/>
    <xf numFmtId="180" fontId="9" fillId="10" borderId="0" xfId="0" quotePrefix="1" applyNumberFormat="1" applyFont="1" applyFill="1" applyAlignment="1">
      <alignment horizontal="center" vertical="center"/>
    </xf>
    <xf numFmtId="0" fontId="11" fillId="10" borderId="0" xfId="0" quotePrefix="1" applyFont="1" applyFill="1" applyAlignment="1">
      <alignment horizontal="left" vertical="center"/>
    </xf>
    <xf numFmtId="0" fontId="6" fillId="10" borderId="0" xfId="0" applyFont="1" applyFill="1" applyAlignment="1">
      <alignment vertical="center"/>
    </xf>
    <xf numFmtId="0" fontId="9" fillId="10" borderId="0" xfId="0" quotePrefix="1" applyFont="1" applyFill="1"/>
    <xf numFmtId="0" fontId="9" fillId="10" borderId="0" xfId="0" quotePrefix="1" applyFont="1" applyFill="1" applyAlignment="1">
      <alignment horizontal="left"/>
    </xf>
    <xf numFmtId="0" fontId="12" fillId="10" borderId="0" xfId="8" quotePrefix="1" applyFont="1" applyFill="1">
      <alignment vertical="center"/>
    </xf>
    <xf numFmtId="0" fontId="9" fillId="10" borderId="0" xfId="0" quotePrefix="1" applyFont="1" applyFill="1" applyAlignment="1">
      <alignment horizontal="left" vertical="center"/>
    </xf>
    <xf numFmtId="0" fontId="7" fillId="10" borderId="7" xfId="0" applyFont="1" applyFill="1" applyBorder="1" applyAlignment="1">
      <alignment vertical="center"/>
    </xf>
    <xf numFmtId="0" fontId="10" fillId="10" borderId="15" xfId="0" quotePrefix="1" applyFont="1" applyFill="1" applyBorder="1" applyAlignment="1">
      <alignment horizontal="center" vertical="center"/>
    </xf>
    <xf numFmtId="0" fontId="10" fillId="10" borderId="8" xfId="0" quotePrefix="1" applyFont="1" applyFill="1" applyBorder="1" applyAlignment="1">
      <alignment horizontal="center" vertical="center"/>
    </xf>
    <xf numFmtId="178" fontId="10" fillId="10" borderId="6" xfId="1" applyNumberFormat="1" applyFont="1" applyFill="1" applyBorder="1" applyAlignment="1">
      <alignment horizontal="right" vertical="center"/>
    </xf>
    <xf numFmtId="178" fontId="10" fillId="10" borderId="6" xfId="1" applyNumberFormat="1" applyFont="1" applyFill="1" applyBorder="1" applyAlignment="1">
      <alignment horizontal="left" vertical="center"/>
    </xf>
    <xf numFmtId="177" fontId="10" fillId="10" borderId="6" xfId="0" applyNumberFormat="1" applyFont="1" applyFill="1" applyBorder="1" applyAlignment="1">
      <alignment horizontal="right" vertical="center"/>
    </xf>
    <xf numFmtId="0" fontId="6" fillId="10" borderId="0" xfId="0" applyFont="1" applyFill="1" applyAlignment="1">
      <alignment horizontal="center" vertical="center"/>
    </xf>
    <xf numFmtId="0" fontId="6" fillId="10" borderId="0" xfId="0" applyFont="1" applyFill="1" applyAlignment="1">
      <alignment horizontal="right" vertical="center"/>
    </xf>
    <xf numFmtId="177" fontId="6" fillId="10" borderId="0" xfId="0" applyNumberFormat="1" applyFont="1" applyFill="1" applyAlignment="1">
      <alignment horizontal="left" vertical="center"/>
    </xf>
    <xf numFmtId="0" fontId="6" fillId="10" borderId="0" xfId="0" applyFont="1" applyFill="1" applyAlignment="1">
      <alignment horizontal="left" vertical="center"/>
    </xf>
    <xf numFmtId="0" fontId="6" fillId="10" borderId="13" xfId="0" quotePrefix="1" applyFont="1" applyFill="1" applyBorder="1" applyAlignment="1">
      <alignment horizontal="center" vertical="center"/>
    </xf>
    <xf numFmtId="0" fontId="6" fillId="10" borderId="1" xfId="0" applyFont="1" applyFill="1" applyBorder="1" applyAlignment="1">
      <alignment horizontal="center" vertical="center"/>
    </xf>
    <xf numFmtId="0" fontId="6" fillId="10" borderId="1" xfId="0" quotePrefix="1" applyFont="1" applyFill="1" applyBorder="1" applyAlignment="1">
      <alignment horizontal="center" vertical="center"/>
    </xf>
    <xf numFmtId="49" fontId="6" fillId="10" borderId="5" xfId="0" applyNumberFormat="1" applyFont="1" applyFill="1" applyBorder="1" applyAlignment="1">
      <alignment horizontal="right" vertical="center"/>
    </xf>
    <xf numFmtId="0" fontId="6" fillId="10" borderId="4" xfId="0" quotePrefix="1" applyFont="1" applyFill="1" applyBorder="1" applyAlignment="1">
      <alignment horizontal="right" vertical="center"/>
    </xf>
    <xf numFmtId="0" fontId="10" fillId="10" borderId="4" xfId="0" applyFont="1" applyFill="1" applyBorder="1" applyAlignment="1">
      <alignment vertical="center"/>
    </xf>
    <xf numFmtId="0" fontId="6" fillId="10" borderId="4" xfId="7" quotePrefix="1" applyFont="1" applyFill="1" applyBorder="1" applyAlignment="1">
      <alignment horizontal="right" vertical="center"/>
    </xf>
    <xf numFmtId="181" fontId="6" fillId="10" borderId="4" xfId="1" applyNumberFormat="1" applyFont="1" applyFill="1" applyBorder="1" applyAlignment="1">
      <alignment horizontal="right" vertical="center"/>
    </xf>
    <xf numFmtId="49" fontId="6" fillId="10" borderId="5" xfId="7" applyNumberFormat="1" applyFont="1" applyFill="1" applyBorder="1" applyAlignment="1">
      <alignment horizontal="right" vertical="center"/>
    </xf>
    <xf numFmtId="0" fontId="6" fillId="10" borderId="4" xfId="7" quotePrefix="1" applyFont="1" applyFill="1" applyBorder="1" applyAlignment="1">
      <alignment horizontal="center" vertical="center"/>
    </xf>
    <xf numFmtId="0" fontId="6" fillId="10" borderId="4" xfId="0" quotePrefix="1" applyFont="1" applyFill="1" applyBorder="1" applyAlignment="1">
      <alignment horizontal="left" vertical="center"/>
    </xf>
    <xf numFmtId="38" fontId="6" fillId="10" borderId="4" xfId="1" applyFont="1" applyFill="1" applyBorder="1" applyAlignment="1">
      <alignment horizontal="right" vertical="center"/>
    </xf>
    <xf numFmtId="6" fontId="6" fillId="10" borderId="11" xfId="1" applyNumberFormat="1" applyFont="1" applyFill="1" applyBorder="1" applyAlignment="1">
      <alignment horizontal="right" vertical="center"/>
    </xf>
    <xf numFmtId="0" fontId="6" fillId="10" borderId="4" xfId="0" applyFont="1" applyFill="1" applyBorder="1" applyAlignment="1">
      <alignment vertical="center"/>
    </xf>
    <xf numFmtId="179" fontId="6" fillId="10" borderId="4" xfId="1" quotePrefix="1" applyNumberFormat="1" applyFont="1" applyFill="1" applyBorder="1" applyAlignment="1">
      <alignment vertical="center"/>
    </xf>
    <xf numFmtId="0" fontId="6" fillId="10" borderId="3" xfId="0" applyFont="1" applyFill="1" applyBorder="1" applyAlignment="1">
      <alignment horizontal="center" vertical="center"/>
    </xf>
    <xf numFmtId="0" fontId="36" fillId="10" borderId="0" xfId="0" applyFont="1" applyFill="1" applyAlignment="1">
      <alignment vertical="center"/>
    </xf>
    <xf numFmtId="0" fontId="36" fillId="10" borderId="0" xfId="0" quotePrefix="1" applyFont="1" applyFill="1" applyAlignment="1">
      <alignment vertical="center"/>
    </xf>
    <xf numFmtId="0" fontId="6" fillId="10" borderId="7" xfId="0" applyFont="1" applyFill="1" applyBorder="1" applyAlignment="1">
      <alignment vertical="center"/>
    </xf>
    <xf numFmtId="0" fontId="6" fillId="10" borderId="14" xfId="0" quotePrefix="1" applyFont="1" applyFill="1" applyBorder="1" applyAlignment="1">
      <alignment horizontal="center" vertical="center"/>
    </xf>
    <xf numFmtId="0" fontId="6" fillId="10" borderId="6" xfId="0" quotePrefix="1" applyFont="1" applyFill="1" applyBorder="1" applyAlignment="1">
      <alignment horizontal="center" vertical="center"/>
    </xf>
    <xf numFmtId="178" fontId="6" fillId="10" borderId="14" xfId="1" applyNumberFormat="1" applyFont="1" applyFill="1" applyBorder="1" applyAlignment="1">
      <alignment horizontal="right" vertical="center"/>
    </xf>
    <xf numFmtId="0" fontId="6" fillId="10" borderId="2" xfId="0" applyFont="1" applyFill="1" applyBorder="1" applyAlignment="1">
      <alignment horizontal="center" vertical="center"/>
    </xf>
    <xf numFmtId="0" fontId="6" fillId="10" borderId="2" xfId="0" quotePrefix="1" applyFont="1" applyFill="1" applyBorder="1" applyAlignment="1">
      <alignment horizontal="left" vertical="center"/>
    </xf>
    <xf numFmtId="0" fontId="6" fillId="10" borderId="2" xfId="0" applyFont="1" applyFill="1" applyBorder="1" applyAlignment="1">
      <alignment vertical="center"/>
    </xf>
    <xf numFmtId="0" fontId="6" fillId="10" borderId="2" xfId="0" applyFont="1" applyFill="1" applyBorder="1" applyAlignment="1">
      <alignment horizontal="right" vertical="center"/>
    </xf>
    <xf numFmtId="38" fontId="6" fillId="10" borderId="2" xfId="1" applyFont="1" applyFill="1" applyBorder="1" applyAlignment="1">
      <alignment vertical="center"/>
    </xf>
    <xf numFmtId="0" fontId="6" fillId="10" borderId="4" xfId="0" applyFont="1" applyFill="1" applyBorder="1" applyAlignment="1">
      <alignment horizontal="left" vertical="center"/>
    </xf>
    <xf numFmtId="0" fontId="6" fillId="10" borderId="11" xfId="0" applyFont="1" applyFill="1" applyBorder="1" applyAlignment="1">
      <alignment horizontal="left" vertical="center"/>
    </xf>
    <xf numFmtId="0" fontId="6" fillId="10" borderId="32" xfId="0" applyFont="1" applyFill="1" applyBorder="1" applyAlignment="1">
      <alignment vertical="center"/>
    </xf>
    <xf numFmtId="0" fontId="6" fillId="10" borderId="11" xfId="0" applyFont="1" applyFill="1" applyBorder="1" applyAlignment="1">
      <alignment horizontal="right" vertical="center"/>
    </xf>
    <xf numFmtId="38" fontId="6" fillId="10" borderId="11" xfId="1" applyFont="1" applyFill="1" applyBorder="1" applyAlignment="1">
      <alignment vertical="center"/>
    </xf>
    <xf numFmtId="0" fontId="6" fillId="10" borderId="4" xfId="0" applyFont="1" applyFill="1" applyBorder="1" applyAlignment="1">
      <alignment horizontal="center" vertical="center"/>
    </xf>
    <xf numFmtId="0" fontId="6" fillId="10" borderId="6" xfId="0" applyFont="1" applyFill="1" applyBorder="1" applyAlignment="1">
      <alignment horizontal="center" vertical="center"/>
    </xf>
    <xf numFmtId="0" fontId="6" fillId="10" borderId="6" xfId="0" applyFont="1" applyFill="1" applyBorder="1" applyAlignment="1">
      <alignment vertical="center"/>
    </xf>
    <xf numFmtId="0" fontId="6" fillId="10" borderId="6" xfId="0" quotePrefix="1" applyFont="1" applyFill="1" applyBorder="1" applyAlignment="1">
      <alignment horizontal="centerContinuous" vertical="center"/>
    </xf>
    <xf numFmtId="0" fontId="6" fillId="10" borderId="8" xfId="0" quotePrefix="1" applyFont="1" applyFill="1" applyBorder="1" applyAlignment="1">
      <alignment horizontal="centerContinuous" vertical="center"/>
    </xf>
    <xf numFmtId="6" fontId="6" fillId="10" borderId="14" xfId="1" applyNumberFormat="1" applyFont="1" applyFill="1" applyBorder="1" applyAlignment="1" applyProtection="1">
      <alignment horizontal="right" vertical="center"/>
      <protection locked="0"/>
    </xf>
    <xf numFmtId="0" fontId="6" fillId="10" borderId="10" xfId="0" quotePrefix="1" applyFont="1" applyFill="1" applyBorder="1" applyAlignment="1">
      <alignment horizontal="center" vertical="center"/>
    </xf>
    <xf numFmtId="178" fontId="6" fillId="10" borderId="10" xfId="1" applyNumberFormat="1" applyFont="1" applyFill="1" applyBorder="1" applyAlignment="1">
      <alignment horizontal="right" vertical="center"/>
    </xf>
    <xf numFmtId="0" fontId="6" fillId="10" borderId="10" xfId="0" applyFont="1" applyFill="1" applyBorder="1" applyAlignment="1">
      <alignment horizontal="center" vertical="center"/>
    </xf>
    <xf numFmtId="0" fontId="6" fillId="10" borderId="0" xfId="0" quotePrefix="1" applyFont="1" applyFill="1" applyAlignment="1">
      <alignment horizontal="center" vertical="center"/>
    </xf>
    <xf numFmtId="178" fontId="6" fillId="10" borderId="0" xfId="1" applyNumberFormat="1" applyFont="1" applyFill="1" applyBorder="1" applyAlignment="1">
      <alignment horizontal="right" vertical="center"/>
    </xf>
    <xf numFmtId="0" fontId="7" fillId="10" borderId="0" xfId="0" applyFont="1" applyFill="1" applyAlignment="1">
      <alignment horizontal="right" vertical="center"/>
    </xf>
    <xf numFmtId="179" fontId="6" fillId="0" borderId="4" xfId="1" applyNumberFormat="1" applyFont="1" applyFill="1" applyBorder="1" applyAlignment="1">
      <alignment horizontal="center" vertical="center"/>
    </xf>
    <xf numFmtId="0" fontId="10" fillId="0" borderId="4" xfId="0" applyFont="1" applyBorder="1" applyAlignment="1">
      <alignment horizontal="center" vertical="center"/>
    </xf>
    <xf numFmtId="0" fontId="26" fillId="0" borderId="4" xfId="0" applyFont="1" applyBorder="1" applyAlignment="1">
      <alignment vertical="center"/>
    </xf>
    <xf numFmtId="0" fontId="26" fillId="0" borderId="32" xfId="0" applyFont="1" applyBorder="1" applyAlignment="1">
      <alignment vertical="center"/>
    </xf>
    <xf numFmtId="0" fontId="0" fillId="0" borderId="4" xfId="0" applyBorder="1" applyAlignment="1">
      <alignment vertical="center"/>
    </xf>
    <xf numFmtId="0" fontId="0" fillId="0" borderId="32" xfId="0" applyBorder="1" applyAlignment="1">
      <alignment vertical="center"/>
    </xf>
    <xf numFmtId="38" fontId="19" fillId="0" borderId="65" xfId="25" applyFont="1" applyFill="1" applyBorder="1" applyAlignment="1">
      <alignment horizontal="center" vertical="center"/>
    </xf>
    <xf numFmtId="0" fontId="0" fillId="0" borderId="17" xfId="0" applyBorder="1" applyAlignment="1">
      <alignment horizontal="center" vertical="center"/>
    </xf>
    <xf numFmtId="38" fontId="19" fillId="0" borderId="26" xfId="25" applyFont="1" applyFill="1" applyBorder="1" applyAlignment="1">
      <alignment horizontal="center" vertical="center"/>
    </xf>
    <xf numFmtId="38" fontId="19" fillId="0" borderId="30" xfId="25" applyFont="1" applyFill="1" applyBorder="1" applyAlignment="1">
      <alignment horizontal="center" vertical="center"/>
    </xf>
    <xf numFmtId="38" fontId="19" fillId="0" borderId="41" xfId="25" applyFont="1" applyFill="1" applyBorder="1" applyAlignment="1">
      <alignment horizontal="center" vertical="center"/>
    </xf>
    <xf numFmtId="38" fontId="43" fillId="0" borderId="41" xfId="25" applyFont="1" applyFill="1" applyBorder="1" applyAlignment="1">
      <alignment horizontal="center" vertical="center"/>
    </xf>
    <xf numFmtId="38" fontId="43" fillId="0" borderId="37" xfId="25" applyFont="1" applyBorder="1" applyAlignment="1">
      <alignment vertical="center"/>
    </xf>
    <xf numFmtId="38" fontId="43" fillId="0" borderId="37" xfId="29" applyFont="1" applyBorder="1" applyAlignment="1">
      <alignment vertical="center"/>
    </xf>
    <xf numFmtId="38" fontId="43" fillId="0" borderId="56" xfId="29" applyFont="1" applyBorder="1" applyAlignment="1">
      <alignment vertical="center"/>
    </xf>
    <xf numFmtId="38" fontId="43" fillId="0" borderId="53" xfId="29" applyFont="1" applyBorder="1" applyAlignment="1">
      <alignment vertical="center"/>
    </xf>
    <xf numFmtId="38" fontId="43" fillId="0" borderId="66" xfId="25" applyFont="1" applyBorder="1" applyAlignment="1">
      <alignment vertical="center"/>
    </xf>
    <xf numFmtId="0" fontId="0" fillId="0" borderId="37" xfId="0" applyBorder="1" applyAlignment="1">
      <alignment horizontal="center" vertical="center"/>
    </xf>
    <xf numFmtId="38" fontId="19" fillId="0" borderId="57" xfId="25" applyFont="1" applyFill="1" applyBorder="1" applyAlignment="1">
      <alignment horizontal="center" vertical="center"/>
    </xf>
    <xf numFmtId="38" fontId="43" fillId="0" borderId="41" xfId="25" applyFont="1" applyBorder="1" applyAlignment="1">
      <alignment vertical="center"/>
    </xf>
    <xf numFmtId="0" fontId="29" fillId="0" borderId="0" xfId="0" applyFont="1" applyAlignment="1">
      <alignment horizontal="left" vertical="center" wrapText="1"/>
    </xf>
    <xf numFmtId="0" fontId="12" fillId="0" borderId="0" xfId="0" quotePrefix="1" applyFont="1" applyAlignment="1">
      <alignment horizontal="left" vertical="center" wrapText="1"/>
    </xf>
    <xf numFmtId="0" fontId="10" fillId="10" borderId="33" xfId="0" quotePrefix="1" applyFont="1" applyFill="1" applyBorder="1" applyAlignment="1">
      <alignment horizontal="left" vertical="center" shrinkToFit="1"/>
    </xf>
    <xf numFmtId="0" fontId="10" fillId="10" borderId="2" xfId="0" applyFont="1" applyFill="1" applyBorder="1" applyAlignment="1">
      <alignment vertical="center" shrinkToFit="1"/>
    </xf>
    <xf numFmtId="177" fontId="6" fillId="10" borderId="12" xfId="0" applyNumberFormat="1" applyFont="1" applyFill="1" applyBorder="1" applyAlignment="1">
      <alignment horizontal="right" vertical="center" shrinkToFit="1"/>
    </xf>
    <xf numFmtId="0" fontId="10" fillId="10" borderId="12" xfId="0" applyFont="1" applyFill="1" applyBorder="1" applyAlignment="1">
      <alignment horizontal="right" vertical="center" shrinkToFit="1"/>
    </xf>
    <xf numFmtId="0" fontId="6" fillId="10" borderId="12" xfId="0" quotePrefix="1" applyFont="1" applyFill="1" applyBorder="1" applyAlignment="1">
      <alignment horizontal="center" vertical="center"/>
    </xf>
    <xf numFmtId="0" fontId="6" fillId="10" borderId="16" xfId="0" quotePrefix="1" applyFont="1" applyFill="1" applyBorder="1" applyAlignment="1">
      <alignment horizontal="center" vertical="center"/>
    </xf>
    <xf numFmtId="182" fontId="6" fillId="10" borderId="2" xfId="1" quotePrefix="1" applyNumberFormat="1" applyFont="1" applyFill="1" applyBorder="1" applyAlignment="1">
      <alignment vertical="center"/>
    </xf>
    <xf numFmtId="0" fontId="10" fillId="10" borderId="2" xfId="0" applyFont="1" applyFill="1" applyBorder="1" applyAlignment="1">
      <alignment vertical="center"/>
    </xf>
    <xf numFmtId="0" fontId="6" fillId="8" borderId="4" xfId="0" quotePrefix="1" applyFont="1" applyFill="1" applyBorder="1" applyAlignment="1">
      <alignment horizontal="left" vertical="center" shrinkToFit="1"/>
    </xf>
    <xf numFmtId="0" fontId="37" fillId="11" borderId="77" xfId="0" applyFont="1" applyFill="1" applyBorder="1" applyAlignment="1">
      <alignment vertical="center" wrapText="1"/>
    </xf>
    <xf numFmtId="0" fontId="50" fillId="5" borderId="27" xfId="0" applyFont="1" applyFill="1" applyBorder="1" applyAlignment="1">
      <alignment horizontal="center" vertical="center"/>
    </xf>
    <xf numFmtId="0" fontId="50" fillId="5" borderId="24" xfId="0" applyFont="1" applyFill="1" applyBorder="1" applyAlignment="1">
      <alignment horizontal="center" vertical="center" shrinkToFit="1"/>
    </xf>
    <xf numFmtId="0" fontId="50" fillId="5" borderId="24" xfId="0" applyFont="1" applyFill="1" applyBorder="1" applyAlignment="1">
      <alignment horizontal="center" vertical="center"/>
    </xf>
    <xf numFmtId="0" fontId="50" fillId="5" borderId="24" xfId="0" applyFont="1" applyFill="1" applyBorder="1" applyAlignment="1">
      <alignment horizontal="center" vertical="center" wrapText="1"/>
    </xf>
    <xf numFmtId="0" fontId="6" fillId="0" borderId="0" xfId="0" applyFont="1" applyAlignment="1">
      <alignment horizontal="left" vertical="center" wrapText="1"/>
    </xf>
    <xf numFmtId="0" fontId="26" fillId="0" borderId="0" xfId="0" applyFont="1" applyAlignment="1">
      <alignment horizontal="left" vertical="center" wrapText="1"/>
    </xf>
    <xf numFmtId="0" fontId="50" fillId="5" borderId="27" xfId="0" applyFont="1" applyFill="1" applyBorder="1" applyAlignment="1">
      <alignment horizontal="center" vertical="center" wrapText="1"/>
    </xf>
    <xf numFmtId="0" fontId="26" fillId="3" borderId="0" xfId="0" applyFont="1" applyFill="1" applyAlignment="1">
      <alignment horizontal="left" wrapText="1"/>
    </xf>
    <xf numFmtId="0" fontId="42" fillId="12" borderId="0" xfId="0" applyFont="1" applyFill="1" applyAlignment="1">
      <alignment vertical="center"/>
    </xf>
    <xf numFmtId="0" fontId="10" fillId="12" borderId="0" xfId="0" applyFont="1" applyFill="1" applyAlignment="1">
      <alignment vertical="center"/>
    </xf>
    <xf numFmtId="0" fontId="7" fillId="12" borderId="0" xfId="0" applyFont="1" applyFill="1" applyAlignment="1">
      <alignment vertical="center"/>
    </xf>
    <xf numFmtId="0" fontId="51" fillId="0" borderId="0" xfId="0" applyFont="1" applyAlignment="1">
      <alignment vertical="center"/>
    </xf>
    <xf numFmtId="0" fontId="10" fillId="8" borderId="4" xfId="0" applyFont="1" applyFill="1" applyBorder="1" applyAlignment="1">
      <alignment vertical="center" shrinkToFit="1"/>
    </xf>
    <xf numFmtId="0" fontId="10" fillId="8" borderId="32" xfId="0" applyFont="1" applyFill="1" applyBorder="1" applyAlignment="1">
      <alignment vertical="center" shrinkToFit="1"/>
    </xf>
    <xf numFmtId="0" fontId="50" fillId="5" borderId="0" xfId="0" applyFont="1" applyFill="1" applyAlignment="1">
      <alignment horizontal="left" vertical="center" shrinkToFit="1"/>
    </xf>
    <xf numFmtId="38" fontId="21" fillId="0" borderId="0" xfId="25" applyFont="1" applyFill="1" applyBorder="1" applyAlignment="1">
      <alignment horizontal="center" vertical="center" wrapText="1"/>
    </xf>
    <xf numFmtId="181" fontId="6" fillId="0" borderId="4" xfId="1" applyNumberFormat="1" applyFont="1" applyFill="1" applyBorder="1" applyAlignment="1">
      <alignment horizontal="right" vertical="center"/>
    </xf>
    <xf numFmtId="181" fontId="6" fillId="0" borderId="4" xfId="1" applyNumberFormat="1" applyFont="1" applyFill="1" applyBorder="1" applyAlignment="1">
      <alignment horizontal="center" vertical="center" shrinkToFit="1"/>
    </xf>
    <xf numFmtId="0" fontId="37" fillId="11" borderId="76" xfId="0" applyFont="1" applyFill="1" applyBorder="1" applyAlignment="1">
      <alignment vertical="center" wrapText="1"/>
    </xf>
    <xf numFmtId="0" fontId="37" fillId="0" borderId="0" xfId="0" applyFont="1" applyAlignment="1">
      <alignment vertical="center"/>
    </xf>
    <xf numFmtId="0" fontId="50" fillId="0" borderId="0" xfId="0" applyFont="1" applyAlignment="1">
      <alignment vertical="center"/>
    </xf>
    <xf numFmtId="0" fontId="37" fillId="0" borderId="70" xfId="0" applyFont="1" applyBorder="1" applyAlignment="1">
      <alignment vertical="center"/>
    </xf>
    <xf numFmtId="0" fontId="50" fillId="6" borderId="74" xfId="0" applyFont="1" applyFill="1" applyBorder="1" applyAlignment="1">
      <alignment horizontal="center" vertical="center" shrinkToFit="1"/>
    </xf>
    <xf numFmtId="0" fontId="37" fillId="6" borderId="70" xfId="0" applyFont="1" applyFill="1" applyBorder="1" applyAlignment="1">
      <alignment horizontal="center" vertical="center"/>
    </xf>
    <xf numFmtId="0" fontId="37" fillId="6" borderId="70" xfId="0" applyFont="1" applyFill="1" applyBorder="1" applyAlignment="1">
      <alignment vertical="center"/>
    </xf>
    <xf numFmtId="0" fontId="37" fillId="6" borderId="73" xfId="0" applyFont="1" applyFill="1" applyBorder="1" applyAlignment="1">
      <alignment vertical="center"/>
    </xf>
    <xf numFmtId="0" fontId="50" fillId="5" borderId="46" xfId="0" applyFont="1" applyFill="1" applyBorder="1" applyAlignment="1">
      <alignment vertical="center" shrinkToFit="1"/>
    </xf>
    <xf numFmtId="0" fontId="50" fillId="5" borderId="56" xfId="0" applyFont="1" applyFill="1" applyBorder="1" applyAlignment="1">
      <alignment horizontal="left" vertical="center"/>
    </xf>
    <xf numFmtId="0" fontId="50" fillId="5" borderId="41" xfId="0" applyFont="1" applyFill="1" applyBorder="1" applyAlignment="1">
      <alignment horizontal="left" vertical="center" shrinkToFit="1"/>
    </xf>
    <xf numFmtId="0" fontId="50" fillId="5" borderId="57" xfId="0" applyFont="1" applyFill="1" applyBorder="1" applyAlignment="1">
      <alignment horizontal="left" vertical="center" shrinkToFit="1"/>
    </xf>
    <xf numFmtId="0" fontId="37" fillId="11" borderId="22" xfId="0" applyFont="1" applyFill="1" applyBorder="1" applyAlignment="1">
      <alignment vertical="center"/>
    </xf>
    <xf numFmtId="0" fontId="37" fillId="11" borderId="7" xfId="0" applyFont="1" applyFill="1" applyBorder="1" applyAlignment="1">
      <alignment vertical="center"/>
    </xf>
    <xf numFmtId="0" fontId="37" fillId="11" borderId="0" xfId="0" applyFont="1" applyFill="1" applyAlignment="1">
      <alignment vertical="center"/>
    </xf>
    <xf numFmtId="0" fontId="37" fillId="11" borderId="76" xfId="0" applyFont="1" applyFill="1" applyBorder="1" applyAlignment="1">
      <alignment vertical="center"/>
    </xf>
    <xf numFmtId="0" fontId="50" fillId="5" borderId="43" xfId="0" applyFont="1" applyFill="1" applyBorder="1" applyAlignment="1">
      <alignment vertical="center" shrinkToFit="1"/>
    </xf>
    <xf numFmtId="0" fontId="50" fillId="5" borderId="25" xfId="0" applyFont="1" applyFill="1" applyBorder="1" applyAlignment="1">
      <alignment horizontal="left" vertical="center"/>
    </xf>
    <xf numFmtId="0" fontId="50" fillId="5" borderId="12" xfId="0" applyFont="1" applyFill="1" applyBorder="1" applyAlignment="1">
      <alignment horizontal="left" vertical="center" shrinkToFit="1"/>
    </xf>
    <xf numFmtId="0" fontId="50" fillId="5" borderId="26" xfId="0" applyFont="1" applyFill="1" applyBorder="1" applyAlignment="1">
      <alignment horizontal="left" vertical="center" shrinkToFit="1"/>
    </xf>
    <xf numFmtId="0" fontId="37" fillId="11" borderId="29" xfId="0" applyFont="1" applyFill="1" applyBorder="1" applyAlignment="1">
      <alignment vertical="center"/>
    </xf>
    <xf numFmtId="0" fontId="50" fillId="5" borderId="44" xfId="0" applyFont="1" applyFill="1" applyBorder="1" applyAlignment="1">
      <alignment vertical="center" shrinkToFit="1"/>
    </xf>
    <xf numFmtId="0" fontId="50" fillId="5" borderId="20" xfId="0" applyFont="1" applyFill="1" applyBorder="1" applyAlignment="1">
      <alignment horizontal="left" vertical="center"/>
    </xf>
    <xf numFmtId="0" fontId="50" fillId="5" borderId="9" xfId="0" applyFont="1" applyFill="1" applyBorder="1" applyAlignment="1">
      <alignment horizontal="left" vertical="center" shrinkToFit="1"/>
    </xf>
    <xf numFmtId="0" fontId="50" fillId="5" borderId="21" xfId="0" applyFont="1" applyFill="1" applyBorder="1" applyAlignment="1">
      <alignment horizontal="left" vertical="center" shrinkToFit="1"/>
    </xf>
    <xf numFmtId="0" fontId="37" fillId="11" borderId="76" xfId="0" applyFont="1" applyFill="1" applyBorder="1" applyAlignment="1">
      <alignment horizontal="left" vertical="center" shrinkToFit="1"/>
    </xf>
    <xf numFmtId="0" fontId="50" fillId="5" borderId="49" xfId="0" applyFont="1" applyFill="1" applyBorder="1" applyAlignment="1">
      <alignment vertical="center" shrinkToFit="1"/>
    </xf>
    <xf numFmtId="0" fontId="50" fillId="5" borderId="22" xfId="0" applyFont="1" applyFill="1" applyBorder="1" applyAlignment="1">
      <alignment horizontal="left" vertical="center"/>
    </xf>
    <xf numFmtId="0" fontId="50" fillId="5" borderId="7" xfId="0" applyFont="1" applyFill="1" applyBorder="1" applyAlignment="1">
      <alignment horizontal="left" vertical="center" shrinkToFit="1"/>
    </xf>
    <xf numFmtId="0" fontId="50" fillId="5" borderId="23" xfId="0" applyFont="1" applyFill="1" applyBorder="1" applyAlignment="1">
      <alignment horizontal="left" vertical="center" shrinkToFit="1"/>
    </xf>
    <xf numFmtId="0" fontId="37" fillId="11" borderId="9" xfId="0" applyFont="1" applyFill="1" applyBorder="1" applyAlignment="1">
      <alignment horizontal="left" vertical="center"/>
    </xf>
    <xf numFmtId="0" fontId="37" fillId="11" borderId="0" xfId="0" applyFont="1" applyFill="1" applyAlignment="1">
      <alignment horizontal="left" vertical="center"/>
    </xf>
    <xf numFmtId="0" fontId="50" fillId="6" borderId="75" xfId="0" applyFont="1" applyFill="1" applyBorder="1" applyAlignment="1">
      <alignment vertical="center"/>
    </xf>
    <xf numFmtId="0" fontId="50" fillId="6" borderId="70" xfId="0" applyFont="1" applyFill="1" applyBorder="1" applyAlignment="1">
      <alignment horizontal="left" vertical="center"/>
    </xf>
    <xf numFmtId="0" fontId="50" fillId="5" borderId="81" xfId="0" applyFont="1" applyFill="1" applyBorder="1" applyAlignment="1">
      <alignment vertical="center" shrinkToFit="1"/>
    </xf>
    <xf numFmtId="0" fontId="50" fillId="5" borderId="29" xfId="0" applyFont="1" applyFill="1" applyBorder="1" applyAlignment="1">
      <alignment horizontal="centerContinuous" vertical="center" shrinkToFit="1"/>
    </xf>
    <xf numFmtId="0" fontId="50" fillId="5" borderId="30" xfId="0" applyFont="1" applyFill="1" applyBorder="1" applyAlignment="1">
      <alignment horizontal="centerContinuous" vertical="center" shrinkToFit="1"/>
    </xf>
    <xf numFmtId="0" fontId="50" fillId="5" borderId="21" xfId="0" applyFont="1" applyFill="1" applyBorder="1" applyAlignment="1">
      <alignment horizontal="centerContinuous" vertical="center" shrinkToFit="1"/>
    </xf>
    <xf numFmtId="0" fontId="50" fillId="5" borderId="29" xfId="0" applyFont="1" applyFill="1" applyBorder="1" applyAlignment="1">
      <alignment horizontal="left" vertical="center"/>
    </xf>
    <xf numFmtId="0" fontId="50" fillId="5" borderId="30" xfId="0" applyFont="1" applyFill="1" applyBorder="1" applyAlignment="1">
      <alignment horizontal="left" vertical="center" shrinkToFit="1"/>
    </xf>
    <xf numFmtId="0" fontId="50" fillId="5" borderId="20" xfId="0" applyFont="1" applyFill="1" applyBorder="1" applyAlignment="1">
      <alignment horizontal="centerContinuous" vertical="center" shrinkToFit="1"/>
    </xf>
    <xf numFmtId="0" fontId="50" fillId="6" borderId="75" xfId="0" applyFont="1" applyFill="1" applyBorder="1" applyAlignment="1">
      <alignment horizontal="left" vertical="center"/>
    </xf>
    <xf numFmtId="0" fontId="50" fillId="6" borderId="72" xfId="0" applyFont="1" applyFill="1" applyBorder="1" applyAlignment="1">
      <alignment horizontal="left" vertical="center"/>
    </xf>
    <xf numFmtId="0" fontId="50" fillId="5" borderId="24" xfId="0" applyFont="1" applyFill="1" applyBorder="1" applyAlignment="1">
      <alignment horizontal="left" vertical="center" shrinkToFit="1"/>
    </xf>
    <xf numFmtId="0" fontId="50" fillId="5" borderId="36" xfId="0" applyFont="1" applyFill="1" applyBorder="1" applyAlignment="1">
      <alignment horizontal="left" vertical="center" shrinkToFit="1"/>
    </xf>
    <xf numFmtId="0" fontId="50" fillId="5" borderId="82" xfId="0" applyFont="1" applyFill="1" applyBorder="1" applyAlignment="1">
      <alignment horizontal="centerContinuous" vertical="center" shrinkToFit="1"/>
    </xf>
    <xf numFmtId="0" fontId="37" fillId="5" borderId="82" xfId="0" applyFont="1" applyFill="1" applyBorder="1" applyAlignment="1">
      <alignment horizontal="centerContinuous" vertical="center"/>
    </xf>
    <xf numFmtId="0" fontId="50" fillId="5" borderId="83" xfId="0" applyFont="1" applyFill="1" applyBorder="1" applyAlignment="1">
      <alignment horizontal="left" vertical="center" shrinkToFit="1"/>
    </xf>
    <xf numFmtId="0" fontId="37" fillId="0" borderId="67" xfId="0" applyFont="1" applyBorder="1" applyAlignment="1">
      <alignment vertical="center"/>
    </xf>
    <xf numFmtId="0" fontId="37" fillId="0" borderId="0" xfId="0" applyFont="1" applyAlignment="1">
      <alignment horizontal="left" vertical="center"/>
    </xf>
    <xf numFmtId="0" fontId="37" fillId="2" borderId="84" xfId="0" applyFont="1" applyFill="1" applyBorder="1" applyAlignment="1">
      <alignment vertical="center"/>
    </xf>
    <xf numFmtId="0" fontId="37" fillId="0" borderId="84" xfId="0" applyFont="1" applyBorder="1" applyAlignment="1">
      <alignment vertical="center"/>
    </xf>
    <xf numFmtId="0" fontId="37" fillId="0" borderId="87" xfId="0" applyFont="1" applyBorder="1" applyAlignment="1">
      <alignment vertical="center"/>
    </xf>
    <xf numFmtId="0" fontId="50" fillId="5" borderId="89" xfId="0" applyFont="1" applyFill="1" applyBorder="1" applyAlignment="1">
      <alignment horizontal="left" vertical="center"/>
    </xf>
    <xf numFmtId="0" fontId="50" fillId="5" borderId="4" xfId="0" applyFont="1" applyFill="1" applyBorder="1" applyAlignment="1">
      <alignment horizontal="left" vertical="center" shrinkToFit="1"/>
    </xf>
    <xf numFmtId="0" fontId="50" fillId="5" borderId="90" xfId="0" applyFont="1" applyFill="1" applyBorder="1" applyAlignment="1">
      <alignment horizontal="left" vertical="center" shrinkToFit="1"/>
    </xf>
    <xf numFmtId="0" fontId="29" fillId="0" borderId="0" xfId="0" applyFont="1" applyAlignment="1">
      <alignment vertical="center"/>
    </xf>
    <xf numFmtId="0" fontId="29" fillId="0" borderId="0" xfId="0" applyFont="1" applyAlignment="1">
      <alignment horizontal="left" vertical="center"/>
    </xf>
    <xf numFmtId="0" fontId="50" fillId="5" borderId="28" xfId="0" applyFont="1" applyFill="1" applyBorder="1" applyAlignment="1">
      <alignment horizontal="right" vertical="center" shrinkToFit="1"/>
    </xf>
    <xf numFmtId="49" fontId="26" fillId="0" borderId="0" xfId="0" applyNumberFormat="1" applyFont="1" applyAlignment="1">
      <alignment horizontal="center" wrapText="1"/>
    </xf>
    <xf numFmtId="49" fontId="26" fillId="6" borderId="0" xfId="0" applyNumberFormat="1" applyFont="1" applyFill="1" applyAlignment="1">
      <alignment horizontal="left" wrapText="1"/>
    </xf>
    <xf numFmtId="49" fontId="26" fillId="0" borderId="0" xfId="0" applyNumberFormat="1" applyFont="1" applyAlignment="1">
      <alignment horizontal="center"/>
    </xf>
    <xf numFmtId="0" fontId="26" fillId="6" borderId="0" xfId="0" applyFont="1" applyFill="1" applyAlignment="1">
      <alignment horizontal="center" wrapText="1"/>
    </xf>
    <xf numFmtId="49" fontId="26" fillId="13" borderId="0" xfId="0" applyNumberFormat="1" applyFont="1" applyFill="1" applyAlignment="1">
      <alignment horizontal="center" wrapText="1"/>
    </xf>
    <xf numFmtId="49" fontId="26" fillId="6" borderId="0" xfId="0" applyNumberFormat="1" applyFont="1" applyFill="1" applyAlignment="1">
      <alignment horizontal="center" wrapText="1"/>
    </xf>
    <xf numFmtId="0" fontId="50" fillId="5" borderId="27" xfId="0" applyFont="1" applyFill="1" applyBorder="1" applyAlignment="1">
      <alignment horizontal="left" vertical="center"/>
    </xf>
    <xf numFmtId="0" fontId="50" fillId="5" borderId="28" xfId="0" applyFont="1" applyFill="1" applyBorder="1" applyAlignment="1">
      <alignment horizontal="left" vertical="center"/>
    </xf>
    <xf numFmtId="0" fontId="50" fillId="5" borderId="21" xfId="0" applyFont="1" applyFill="1" applyBorder="1" applyAlignment="1">
      <alignment horizontal="left" vertical="center"/>
    </xf>
    <xf numFmtId="0" fontId="26" fillId="3" borderId="0" xfId="0" applyFont="1" applyFill="1" applyAlignment="1">
      <alignment horizontal="center" wrapText="1"/>
    </xf>
    <xf numFmtId="0" fontId="50" fillId="5" borderId="74" xfId="0" applyFont="1" applyFill="1" applyBorder="1" applyAlignment="1">
      <alignment vertical="center" shrinkToFit="1"/>
    </xf>
    <xf numFmtId="0" fontId="50" fillId="5" borderId="72" xfId="0" applyFont="1" applyFill="1" applyBorder="1" applyAlignment="1">
      <alignment horizontal="left" vertical="center"/>
    </xf>
    <xf numFmtId="0" fontId="50" fillId="5" borderId="70" xfId="0" applyFont="1" applyFill="1" applyBorder="1" applyAlignment="1">
      <alignment horizontal="left" vertical="center" shrinkToFit="1"/>
    </xf>
    <xf numFmtId="0" fontId="50" fillId="5" borderId="86" xfId="0" applyFont="1" applyFill="1" applyBorder="1" applyAlignment="1">
      <alignment horizontal="left" vertical="center" shrinkToFit="1"/>
    </xf>
    <xf numFmtId="0" fontId="50" fillId="5" borderId="93" xfId="0" applyFont="1" applyFill="1" applyBorder="1" applyAlignment="1">
      <alignment horizontal="left" vertical="center" shrinkToFit="1"/>
    </xf>
    <xf numFmtId="0" fontId="37" fillId="5" borderId="20" xfId="0" applyFont="1" applyFill="1" applyBorder="1" applyAlignment="1">
      <alignment horizontal="left" vertical="center"/>
    </xf>
    <xf numFmtId="0" fontId="37" fillId="5" borderId="29" xfId="0" applyFont="1" applyFill="1" applyBorder="1" applyAlignment="1">
      <alignment horizontal="left" vertical="center"/>
    </xf>
    <xf numFmtId="0" fontId="29" fillId="5" borderId="9" xfId="0" applyFont="1" applyFill="1" applyBorder="1" applyAlignment="1">
      <alignment horizontal="center" vertical="top" shrinkToFit="1"/>
    </xf>
    <xf numFmtId="0" fontId="37" fillId="5" borderId="9" xfId="0" applyFont="1" applyFill="1" applyBorder="1" applyAlignment="1">
      <alignment horizontal="center" vertical="top"/>
    </xf>
    <xf numFmtId="0" fontId="29" fillId="5" borderId="9" xfId="0" applyFont="1" applyFill="1" applyBorder="1" applyAlignment="1">
      <alignment horizontal="center" vertical="top"/>
    </xf>
    <xf numFmtId="0" fontId="26" fillId="5" borderId="20" xfId="0" applyFont="1" applyFill="1" applyBorder="1" applyAlignment="1">
      <alignment horizontal="left" vertical="center"/>
    </xf>
    <xf numFmtId="0" fontId="50" fillId="5" borderId="30" xfId="0" applyFont="1" applyFill="1" applyBorder="1" applyAlignment="1">
      <alignment horizontal="left" vertical="center"/>
    </xf>
    <xf numFmtId="0" fontId="37" fillId="5" borderId="0" xfId="0" applyFont="1" applyFill="1" applyAlignment="1">
      <alignment horizontal="center" vertical="top"/>
    </xf>
    <xf numFmtId="0" fontId="37" fillId="5" borderId="7" xfId="0" applyFont="1" applyFill="1" applyBorder="1" applyAlignment="1">
      <alignment horizontal="center" vertical="top"/>
    </xf>
    <xf numFmtId="0" fontId="26" fillId="5" borderId="29" xfId="0" applyFont="1" applyFill="1" applyBorder="1" applyAlignment="1">
      <alignment horizontal="left" vertical="center"/>
    </xf>
    <xf numFmtId="0" fontId="37" fillId="5" borderId="30" xfId="0" applyFont="1" applyFill="1" applyBorder="1" applyAlignment="1">
      <alignment vertical="center"/>
    </xf>
    <xf numFmtId="0" fontId="37" fillId="5" borderId="9" xfId="0" applyFont="1" applyFill="1" applyBorder="1" applyAlignment="1">
      <alignment vertical="center"/>
    </xf>
    <xf numFmtId="0" fontId="50" fillId="5" borderId="23" xfId="0" applyFont="1" applyFill="1" applyBorder="1" applyAlignment="1">
      <alignment horizontal="left" vertical="center"/>
    </xf>
    <xf numFmtId="0" fontId="37" fillId="5" borderId="7" xfId="0" applyFont="1" applyFill="1" applyBorder="1" applyAlignment="1">
      <alignment vertical="center"/>
    </xf>
    <xf numFmtId="0" fontId="37" fillId="5" borderId="21" xfId="0" applyFont="1" applyFill="1" applyBorder="1" applyAlignment="1">
      <alignment vertical="center"/>
    </xf>
    <xf numFmtId="0" fontId="37" fillId="5" borderId="23" xfId="0" applyFont="1" applyFill="1" applyBorder="1" applyAlignment="1">
      <alignment vertical="center"/>
    </xf>
    <xf numFmtId="181" fontId="6" fillId="0" borderId="3" xfId="0" applyNumberFormat="1" applyFont="1" applyBorder="1" applyAlignment="1">
      <alignment horizontal="center" vertical="center" shrinkToFit="1"/>
    </xf>
    <xf numFmtId="0" fontId="26" fillId="3" borderId="0" xfId="0" applyFont="1" applyFill="1"/>
    <xf numFmtId="0" fontId="0" fillId="5" borderId="70" xfId="0" applyFill="1" applyBorder="1" applyAlignment="1">
      <alignment horizontal="left" vertical="center"/>
    </xf>
    <xf numFmtId="0" fontId="0" fillId="5" borderId="86" xfId="0" applyFill="1" applyBorder="1" applyAlignment="1">
      <alignment horizontal="left" vertical="center"/>
    </xf>
    <xf numFmtId="0" fontId="50" fillId="5" borderId="73" xfId="0" applyFont="1" applyFill="1" applyBorder="1" applyAlignment="1">
      <alignment horizontal="left" vertical="center" shrinkToFit="1"/>
    </xf>
    <xf numFmtId="0" fontId="37" fillId="14" borderId="88" xfId="0" applyFont="1" applyFill="1" applyBorder="1" applyAlignment="1">
      <alignment vertical="center" shrinkToFit="1"/>
    </xf>
    <xf numFmtId="0" fontId="37" fillId="14" borderId="27" xfId="0" applyFont="1" applyFill="1" applyBorder="1" applyAlignment="1">
      <alignment vertical="center" shrinkToFit="1"/>
    </xf>
    <xf numFmtId="0" fontId="26" fillId="5" borderId="68" xfId="0" applyFont="1" applyFill="1" applyBorder="1" applyAlignment="1">
      <alignment horizontal="left" vertical="center"/>
    </xf>
    <xf numFmtId="0" fontId="50" fillId="5" borderId="94" xfId="0" applyFont="1" applyFill="1" applyBorder="1" applyAlignment="1">
      <alignment horizontal="left" vertical="center"/>
    </xf>
    <xf numFmtId="0" fontId="37" fillId="5" borderId="71" xfId="0" applyFont="1" applyFill="1" applyBorder="1" applyAlignment="1">
      <alignment vertical="center"/>
    </xf>
    <xf numFmtId="0" fontId="50" fillId="5" borderId="0" xfId="0" applyFont="1" applyFill="1" applyAlignment="1">
      <alignment horizontal="left" vertical="center"/>
    </xf>
    <xf numFmtId="0" fontId="50" fillId="5" borderId="27" xfId="0" applyFont="1" applyFill="1" applyBorder="1" applyAlignment="1">
      <alignment horizontal="center" vertical="center" shrinkToFit="1"/>
    </xf>
    <xf numFmtId="0" fontId="26" fillId="5" borderId="89" xfId="0" applyFont="1" applyFill="1" applyBorder="1" applyAlignment="1">
      <alignment horizontal="left" vertical="center"/>
    </xf>
    <xf numFmtId="0" fontId="50" fillId="5" borderId="90" xfId="0" applyFont="1" applyFill="1" applyBorder="1" applyAlignment="1">
      <alignment horizontal="left" vertical="center"/>
    </xf>
    <xf numFmtId="0" fontId="37" fillId="5" borderId="4" xfId="0" applyFont="1" applyFill="1" applyBorder="1" applyAlignment="1">
      <alignment vertical="center"/>
    </xf>
    <xf numFmtId="0" fontId="52" fillId="5" borderId="4" xfId="0" applyFont="1" applyFill="1" applyBorder="1" applyAlignment="1">
      <alignment vertical="center" shrinkToFit="1"/>
    </xf>
    <xf numFmtId="0" fontId="37" fillId="5" borderId="90" xfId="0" applyFont="1" applyFill="1" applyBorder="1" applyAlignment="1">
      <alignment vertical="center"/>
    </xf>
    <xf numFmtId="0" fontId="26" fillId="5" borderId="79" xfId="0" applyFont="1" applyFill="1" applyBorder="1" applyAlignment="1">
      <alignment horizontal="left" vertical="center"/>
    </xf>
    <xf numFmtId="0" fontId="50" fillId="5" borderId="80" xfId="0" applyFont="1" applyFill="1" applyBorder="1" applyAlignment="1">
      <alignment horizontal="left" vertical="center"/>
    </xf>
    <xf numFmtId="0" fontId="37" fillId="5" borderId="80" xfId="0" applyFont="1" applyFill="1" applyBorder="1" applyAlignment="1">
      <alignment vertical="center"/>
    </xf>
    <xf numFmtId="0" fontId="26" fillId="5" borderId="96" xfId="0" applyFont="1" applyFill="1" applyBorder="1" applyAlignment="1">
      <alignment horizontal="left" vertical="center"/>
    </xf>
    <xf numFmtId="0" fontId="50" fillId="5" borderId="97" xfId="0" applyFont="1" applyFill="1" applyBorder="1" applyAlignment="1">
      <alignment horizontal="left" vertical="center"/>
    </xf>
    <xf numFmtId="0" fontId="37" fillId="5" borderId="98" xfId="0" applyFont="1" applyFill="1" applyBorder="1" applyAlignment="1">
      <alignment vertical="center"/>
    </xf>
    <xf numFmtId="0" fontId="37" fillId="5" borderId="5" xfId="0" applyFont="1" applyFill="1" applyBorder="1" applyAlignment="1">
      <alignment vertical="center"/>
    </xf>
    <xf numFmtId="0" fontId="37" fillId="5" borderId="94" xfId="0" applyFont="1" applyFill="1" applyBorder="1" applyAlignment="1">
      <alignment vertical="center"/>
    </xf>
    <xf numFmtId="0" fontId="37" fillId="11" borderId="25" xfId="0" applyFont="1" applyFill="1" applyBorder="1" applyAlignment="1">
      <alignment vertical="center"/>
    </xf>
    <xf numFmtId="0" fontId="37" fillId="11" borderId="9" xfId="0" applyFont="1" applyFill="1" applyBorder="1" applyAlignment="1">
      <alignment vertical="center"/>
    </xf>
    <xf numFmtId="0" fontId="37" fillId="11" borderId="12" xfId="0" applyFont="1" applyFill="1" applyBorder="1" applyAlignment="1">
      <alignment vertical="center"/>
    </xf>
    <xf numFmtId="0" fontId="50" fillId="5" borderId="7" xfId="0" applyFont="1" applyFill="1" applyBorder="1" applyAlignment="1">
      <alignment horizontal="left" vertical="center"/>
    </xf>
    <xf numFmtId="0" fontId="37" fillId="5" borderId="21" xfId="0" applyFont="1" applyFill="1" applyBorder="1" applyAlignment="1">
      <alignment horizontal="center" vertical="top"/>
    </xf>
    <xf numFmtId="0" fontId="37" fillId="5" borderId="23" xfId="0" applyFont="1" applyFill="1" applyBorder="1" applyAlignment="1">
      <alignment horizontal="center" vertical="top"/>
    </xf>
    <xf numFmtId="0" fontId="37" fillId="5" borderId="95" xfId="0" applyFont="1" applyFill="1" applyBorder="1" applyAlignment="1">
      <alignment vertical="center"/>
    </xf>
    <xf numFmtId="0" fontId="54" fillId="5" borderId="12" xfId="0" applyFont="1" applyFill="1" applyBorder="1" applyAlignment="1">
      <alignment horizontal="centerContinuous" vertical="center" shrinkToFit="1"/>
    </xf>
    <xf numFmtId="0" fontId="54" fillId="5" borderId="26" xfId="0" applyFont="1" applyFill="1" applyBorder="1" applyAlignment="1">
      <alignment horizontal="centerContinuous" vertical="center" shrinkToFit="1"/>
    </xf>
    <xf numFmtId="0" fontId="54" fillId="5" borderId="25" xfId="0" applyFont="1" applyFill="1" applyBorder="1" applyAlignment="1">
      <alignment horizontal="centerContinuous" vertical="center" shrinkToFit="1"/>
    </xf>
    <xf numFmtId="0" fontId="37" fillId="5" borderId="0" xfId="0" applyFont="1" applyFill="1" applyAlignment="1">
      <alignment vertical="center"/>
    </xf>
    <xf numFmtId="0" fontId="37" fillId="5" borderId="0" xfId="0" applyFont="1" applyFill="1" applyAlignment="1">
      <alignment horizontal="right" vertical="center"/>
    </xf>
    <xf numFmtId="0" fontId="37" fillId="11" borderId="20" xfId="0" applyFont="1" applyFill="1" applyBorder="1" applyAlignment="1">
      <alignment vertical="center"/>
    </xf>
    <xf numFmtId="0" fontId="37" fillId="3" borderId="84" xfId="0" applyFont="1" applyFill="1" applyBorder="1" applyAlignment="1">
      <alignment vertical="center"/>
    </xf>
    <xf numFmtId="0" fontId="37" fillId="14" borderId="84" xfId="0" applyFont="1" applyFill="1" applyBorder="1" applyAlignment="1">
      <alignment vertical="center"/>
    </xf>
    <xf numFmtId="0" fontId="37" fillId="3" borderId="22" xfId="0" applyFont="1" applyFill="1" applyBorder="1" applyAlignment="1" applyProtection="1">
      <alignment horizontal="left" vertical="center"/>
      <protection locked="0"/>
    </xf>
    <xf numFmtId="0" fontId="37" fillId="2" borderId="22" xfId="0" applyFont="1" applyFill="1" applyBorder="1" applyAlignment="1" applyProtection="1">
      <alignment vertical="center"/>
      <protection locked="0"/>
    </xf>
    <xf numFmtId="0" fontId="37" fillId="3" borderId="68" xfId="0" applyFont="1" applyFill="1" applyBorder="1" applyAlignment="1" applyProtection="1">
      <alignment horizontal="center" vertical="center" shrinkToFit="1"/>
      <protection locked="0"/>
    </xf>
    <xf numFmtId="0" fontId="37" fillId="2" borderId="69" xfId="0" applyFont="1" applyFill="1" applyBorder="1" applyAlignment="1" applyProtection="1">
      <alignment horizontal="center" vertical="center" shrinkToFit="1"/>
      <protection locked="0"/>
    </xf>
    <xf numFmtId="0" fontId="37" fillId="3" borderId="78" xfId="0" applyFont="1" applyFill="1" applyBorder="1" applyAlignment="1" applyProtection="1">
      <alignment horizontal="center" vertical="center" shrinkToFit="1"/>
      <protection locked="0"/>
    </xf>
    <xf numFmtId="0" fontId="37" fillId="2" borderId="79" xfId="0" applyFont="1" applyFill="1" applyBorder="1" applyAlignment="1" applyProtection="1">
      <alignment horizontal="center" vertical="center" shrinkToFit="1"/>
      <protection locked="0"/>
    </xf>
    <xf numFmtId="0" fontId="37" fillId="2" borderId="78" xfId="0" applyFont="1" applyFill="1" applyBorder="1" applyAlignment="1" applyProtection="1">
      <alignment horizontal="center" vertical="center" shrinkToFit="1"/>
      <protection locked="0"/>
    </xf>
    <xf numFmtId="0" fontId="37" fillId="2" borderId="79" xfId="0" applyFont="1" applyFill="1" applyBorder="1" applyAlignment="1" applyProtection="1">
      <alignment vertical="center" shrinkToFit="1"/>
      <protection locked="0"/>
    </xf>
    <xf numFmtId="0" fontId="37" fillId="2" borderId="89" xfId="0" applyFont="1" applyFill="1" applyBorder="1" applyAlignment="1" applyProtection="1">
      <alignment vertical="center" shrinkToFit="1"/>
      <protection locked="0"/>
    </xf>
    <xf numFmtId="0" fontId="37" fillId="2" borderId="29" xfId="0" applyFont="1" applyFill="1" applyBorder="1" applyAlignment="1" applyProtection="1">
      <alignment vertical="center" shrinkToFit="1"/>
      <protection locked="0"/>
    </xf>
    <xf numFmtId="0" fontId="37" fillId="2" borderId="22" xfId="0" applyFont="1" applyFill="1" applyBorder="1" applyAlignment="1" applyProtection="1">
      <alignment vertical="center" shrinkToFit="1"/>
      <protection locked="0"/>
    </xf>
    <xf numFmtId="0" fontId="37" fillId="2" borderId="88" xfId="0" applyFont="1" applyFill="1" applyBorder="1" applyAlignment="1" applyProtection="1">
      <alignment horizontal="center" vertical="center" shrinkToFit="1"/>
      <protection locked="0"/>
    </xf>
    <xf numFmtId="0" fontId="37" fillId="2" borderId="28" xfId="0" applyFont="1" applyFill="1" applyBorder="1" applyAlignment="1" applyProtection="1">
      <alignment horizontal="center" vertical="center" shrinkToFit="1"/>
      <protection locked="0"/>
    </xf>
    <xf numFmtId="0" fontId="6" fillId="8" borderId="32" xfId="0" applyFont="1" applyFill="1" applyBorder="1" applyAlignment="1">
      <alignment vertical="center" shrinkToFit="1"/>
    </xf>
    <xf numFmtId="0" fontId="26" fillId="5" borderId="71" xfId="0" applyFont="1" applyFill="1" applyBorder="1" applyAlignment="1">
      <alignment vertical="center"/>
    </xf>
    <xf numFmtId="0" fontId="6" fillId="8" borderId="11" xfId="0" applyFont="1" applyFill="1" applyBorder="1" applyAlignment="1">
      <alignment horizontal="left" vertical="center" shrinkToFit="1"/>
    </xf>
    <xf numFmtId="0" fontId="37" fillId="2" borderId="78" xfId="0" applyFont="1" applyFill="1" applyBorder="1" applyAlignment="1" applyProtection="1">
      <alignment horizontal="center" vertical="center"/>
      <protection locked="0"/>
    </xf>
    <xf numFmtId="0" fontId="37" fillId="14" borderId="78" xfId="0" applyFont="1" applyFill="1" applyBorder="1" applyAlignment="1">
      <alignment vertical="center" shrinkToFit="1"/>
    </xf>
    <xf numFmtId="0" fontId="37" fillId="14" borderId="89" xfId="0" applyFont="1" applyFill="1" applyBorder="1" applyAlignment="1">
      <alignment vertical="center" shrinkToFit="1"/>
    </xf>
    <xf numFmtId="0" fontId="37" fillId="3" borderId="89" xfId="0" applyFont="1" applyFill="1" applyBorder="1" applyAlignment="1" applyProtection="1">
      <alignment vertical="center" shrinkToFit="1"/>
      <protection locked="0"/>
    </xf>
    <xf numFmtId="0" fontId="50" fillId="5" borderId="23" xfId="0" applyFont="1" applyFill="1" applyBorder="1" applyAlignment="1">
      <alignment horizontal="right" vertical="center"/>
    </xf>
    <xf numFmtId="0" fontId="37" fillId="3" borderId="99" xfId="0" applyFont="1" applyFill="1" applyBorder="1" applyAlignment="1" applyProtection="1">
      <alignment horizontal="center" vertical="center" shrinkToFit="1"/>
      <protection locked="0"/>
    </xf>
    <xf numFmtId="0" fontId="50" fillId="5" borderId="44" xfId="0" applyFont="1" applyFill="1" applyBorder="1" applyAlignment="1">
      <alignment horizontal="right" vertical="center" shrinkToFit="1"/>
    </xf>
    <xf numFmtId="0" fontId="50" fillId="5" borderId="50" xfId="0" applyFont="1" applyFill="1" applyBorder="1" applyAlignment="1">
      <alignment horizontal="right" vertical="center" shrinkToFit="1"/>
    </xf>
    <xf numFmtId="0" fontId="50" fillId="5" borderId="49" xfId="0" applyFont="1" applyFill="1" applyBorder="1" applyAlignment="1">
      <alignment horizontal="right" vertical="center" shrinkToFit="1"/>
    </xf>
    <xf numFmtId="0" fontId="0" fillId="3" borderId="0" xfId="0" applyFill="1"/>
    <xf numFmtId="0" fontId="0" fillId="3" borderId="0" xfId="0" applyFill="1" applyAlignment="1">
      <alignment wrapText="1"/>
    </xf>
    <xf numFmtId="0" fontId="26" fillId="9" borderId="0" xfId="0" applyFont="1" applyFill="1"/>
    <xf numFmtId="0" fontId="30" fillId="9" borderId="0" xfId="0" applyFont="1" applyFill="1" applyAlignment="1">
      <alignment vertical="center"/>
    </xf>
    <xf numFmtId="38" fontId="6" fillId="0" borderId="11" xfId="1" applyFont="1" applyFill="1" applyBorder="1" applyAlignment="1">
      <alignment horizontal="right" vertical="center" shrinkToFit="1"/>
    </xf>
    <xf numFmtId="184" fontId="19" fillId="0" borderId="0" xfId="25" applyNumberFormat="1" applyFont="1" applyFill="1" applyBorder="1" applyAlignment="1">
      <alignment horizontal="center" vertical="center"/>
    </xf>
    <xf numFmtId="184" fontId="0" fillId="0" borderId="0" xfId="0" applyNumberFormat="1"/>
    <xf numFmtId="0" fontId="2" fillId="0" borderId="0" xfId="31">
      <alignment vertical="center"/>
    </xf>
    <xf numFmtId="0" fontId="0" fillId="16" borderId="0" xfId="0" applyFill="1"/>
    <xf numFmtId="0" fontId="2" fillId="16" borderId="0" xfId="31" applyFill="1">
      <alignment vertical="center"/>
    </xf>
    <xf numFmtId="0" fontId="0" fillId="16" borderId="0" xfId="0" applyFill="1" applyAlignment="1">
      <alignment wrapText="1"/>
    </xf>
    <xf numFmtId="0" fontId="2" fillId="9" borderId="0" xfId="31" applyFill="1">
      <alignment vertical="center"/>
    </xf>
    <xf numFmtId="0" fontId="19" fillId="0" borderId="24" xfId="24" applyFont="1" applyBorder="1" applyAlignment="1">
      <alignment horizontal="center" vertical="center"/>
    </xf>
    <xf numFmtId="0" fontId="19" fillId="0" borderId="36" xfId="24" applyFont="1" applyBorder="1" applyAlignment="1">
      <alignment horizontal="center" vertical="center"/>
    </xf>
    <xf numFmtId="0" fontId="0" fillId="0" borderId="28" xfId="0" applyBorder="1" applyAlignment="1">
      <alignment horizontal="center" vertical="center"/>
    </xf>
    <xf numFmtId="0" fontId="0" fillId="0" borderId="55" xfId="0" applyBorder="1" applyAlignment="1">
      <alignment horizontal="center" vertical="center"/>
    </xf>
    <xf numFmtId="0" fontId="1" fillId="16" borderId="0" xfId="31" applyFont="1" applyFill="1">
      <alignment vertical="center"/>
    </xf>
    <xf numFmtId="0" fontId="26" fillId="8" borderId="0" xfId="0" applyFont="1" applyFill="1" applyAlignment="1">
      <alignment horizontal="left" wrapText="1"/>
    </xf>
    <xf numFmtId="0" fontId="26" fillId="17" borderId="0" xfId="0" applyFont="1" applyFill="1" applyAlignment="1">
      <alignment horizontal="left" wrapText="1"/>
    </xf>
    <xf numFmtId="0" fontId="0" fillId="0" borderId="0" xfId="0" applyAlignment="1">
      <alignment vertical="center"/>
    </xf>
    <xf numFmtId="0" fontId="26" fillId="0" borderId="4" xfId="0" applyFont="1" applyBorder="1" applyAlignment="1">
      <alignment vertical="center" shrinkToFit="1"/>
    </xf>
    <xf numFmtId="0" fontId="56" fillId="5" borderId="7" xfId="0" applyFont="1" applyFill="1" applyBorder="1" applyAlignment="1">
      <alignment horizontal="left" vertical="center" shrinkToFit="1"/>
    </xf>
    <xf numFmtId="0" fontId="56" fillId="5" borderId="23" xfId="0" applyFont="1" applyFill="1" applyBorder="1" applyAlignment="1">
      <alignment horizontal="left" vertical="center" shrinkToFit="1"/>
    </xf>
    <xf numFmtId="0" fontId="50" fillId="5" borderId="24" xfId="0" applyFont="1" applyFill="1" applyBorder="1" applyAlignment="1">
      <alignment horizontal="center" vertical="center" wrapText="1" shrinkToFit="1"/>
    </xf>
    <xf numFmtId="0" fontId="57" fillId="15" borderId="84" xfId="0" applyFont="1" applyFill="1" applyBorder="1" applyAlignment="1" applyProtection="1">
      <alignment horizontal="center" vertical="center" shrinkToFit="1"/>
      <protection locked="0"/>
    </xf>
    <xf numFmtId="183" fontId="57" fillId="15" borderId="85" xfId="0" applyNumberFormat="1" applyFont="1" applyFill="1" applyBorder="1" applyAlignment="1" applyProtection="1">
      <alignment horizontal="center" vertical="center" shrinkToFit="1"/>
      <protection locked="0"/>
    </xf>
    <xf numFmtId="0" fontId="57" fillId="15" borderId="68" xfId="0" applyFont="1" applyFill="1" applyBorder="1" applyAlignment="1" applyProtection="1">
      <alignment horizontal="center" vertical="center" shrinkToFit="1"/>
      <protection locked="0"/>
    </xf>
    <xf numFmtId="0" fontId="57" fillId="15" borderId="78" xfId="0" applyFont="1" applyFill="1" applyBorder="1" applyAlignment="1" applyProtection="1">
      <alignment horizontal="center" vertical="center" shrinkToFit="1"/>
      <protection locked="0"/>
    </xf>
    <xf numFmtId="0" fontId="57" fillId="15" borderId="100" xfId="0" applyFont="1" applyFill="1" applyBorder="1" applyAlignment="1" applyProtection="1">
      <alignment vertical="center"/>
      <protection locked="0"/>
    </xf>
    <xf numFmtId="0" fontId="50" fillId="3" borderId="74" xfId="0" applyFont="1" applyFill="1" applyBorder="1" applyAlignment="1" applyProtection="1">
      <alignment horizontal="center" vertical="center" shrinkToFit="1"/>
      <protection hidden="1"/>
    </xf>
    <xf numFmtId="0" fontId="50" fillId="3" borderId="75" xfId="0" applyFont="1" applyFill="1" applyBorder="1" applyAlignment="1" applyProtection="1">
      <alignment horizontal="left" vertical="center"/>
      <protection hidden="1"/>
    </xf>
    <xf numFmtId="0" fontId="50" fillId="3" borderId="70" xfId="0" applyFont="1" applyFill="1" applyBorder="1" applyAlignment="1" applyProtection="1">
      <alignment horizontal="center" vertical="center" shrinkToFit="1"/>
      <protection hidden="1"/>
    </xf>
    <xf numFmtId="0" fontId="50" fillId="3" borderId="86" xfId="0" applyFont="1" applyFill="1" applyBorder="1" applyAlignment="1" applyProtection="1">
      <alignment horizontal="center" vertical="center" shrinkToFit="1"/>
      <protection hidden="1"/>
    </xf>
    <xf numFmtId="0" fontId="37" fillId="0" borderId="0" xfId="0" applyFont="1" applyAlignment="1" applyProtection="1">
      <alignment vertical="center"/>
      <protection hidden="1"/>
    </xf>
    <xf numFmtId="0" fontId="50" fillId="5" borderId="27" xfId="0" applyFont="1" applyFill="1" applyBorder="1" applyAlignment="1">
      <alignment horizontal="centerContinuous" vertical="center" shrinkToFit="1"/>
    </xf>
    <xf numFmtId="0" fontId="50" fillId="5" borderId="24" xfId="0" applyFont="1" applyFill="1" applyBorder="1" applyAlignment="1">
      <alignment horizontal="centerContinuous" vertical="center" shrinkToFit="1"/>
    </xf>
    <xf numFmtId="0" fontId="37" fillId="15" borderId="84" xfId="0" applyFont="1" applyFill="1" applyBorder="1" applyAlignment="1">
      <alignment vertical="center"/>
    </xf>
    <xf numFmtId="0" fontId="50" fillId="5" borderId="79" xfId="0" applyFont="1" applyFill="1" applyBorder="1" applyAlignment="1">
      <alignment horizontal="right" vertical="center" shrinkToFit="1"/>
    </xf>
    <xf numFmtId="38" fontId="19" fillId="0" borderId="36" xfId="25" applyFont="1" applyFill="1" applyBorder="1" applyAlignment="1">
      <alignment horizontal="center" vertical="center"/>
    </xf>
    <xf numFmtId="38" fontId="19" fillId="0" borderId="27" xfId="25" applyFont="1" applyFill="1" applyBorder="1" applyAlignment="1">
      <alignment horizontal="center" vertical="center"/>
    </xf>
    <xf numFmtId="0" fontId="37" fillId="15" borderId="78" xfId="0" applyFont="1" applyFill="1" applyBorder="1" applyAlignment="1" applyProtection="1">
      <alignment horizontal="center" vertical="center"/>
      <protection locked="0"/>
    </xf>
    <xf numFmtId="0" fontId="50" fillId="5" borderId="79" xfId="0" applyFont="1" applyFill="1" applyBorder="1" applyAlignment="1">
      <alignment horizontal="right" vertical="center" wrapText="1" shrinkToFit="1"/>
    </xf>
    <xf numFmtId="0" fontId="37" fillId="2" borderId="72" xfId="0" applyFont="1" applyFill="1" applyBorder="1" applyAlignment="1" applyProtection="1">
      <alignment vertical="center"/>
      <protection hidden="1"/>
    </xf>
    <xf numFmtId="0" fontId="37" fillId="0" borderId="73" xfId="0" applyFont="1" applyBorder="1" applyAlignment="1" applyProtection="1">
      <alignment vertical="center"/>
      <protection hidden="1"/>
    </xf>
    <xf numFmtId="0" fontId="50" fillId="5" borderId="29" xfId="0" applyFont="1" applyFill="1" applyBorder="1" applyAlignment="1">
      <alignment horizontal="left" vertical="center" wrapText="1" shrinkToFit="1"/>
    </xf>
    <xf numFmtId="0" fontId="50" fillId="5" borderId="0" xfId="0" applyFont="1" applyFill="1" applyAlignment="1">
      <alignment horizontal="left" vertical="center" shrinkToFit="1"/>
    </xf>
    <xf numFmtId="0" fontId="37" fillId="12" borderId="7" xfId="0" quotePrefix="1" applyFont="1" applyFill="1" applyBorder="1" applyAlignment="1" applyProtection="1">
      <alignment vertical="center" shrinkToFit="1"/>
      <protection locked="0"/>
    </xf>
    <xf numFmtId="0" fontId="37" fillId="12" borderId="23" xfId="0" applyFont="1" applyFill="1" applyBorder="1" applyAlignment="1" applyProtection="1">
      <alignment vertical="center" shrinkToFit="1"/>
      <protection locked="0"/>
    </xf>
    <xf numFmtId="0" fontId="37" fillId="12" borderId="25" xfId="0" quotePrefix="1" applyFont="1" applyFill="1" applyBorder="1" applyAlignment="1" applyProtection="1">
      <alignment vertical="center" shrinkToFit="1"/>
      <protection locked="0"/>
    </xf>
    <xf numFmtId="0" fontId="37" fillId="12" borderId="12" xfId="0" applyFont="1" applyFill="1" applyBorder="1" applyAlignment="1" applyProtection="1">
      <alignment vertical="center" shrinkToFit="1"/>
      <protection locked="0"/>
    </xf>
    <xf numFmtId="0" fontId="37" fillId="12" borderId="26" xfId="0" applyFont="1" applyFill="1" applyBorder="1" applyAlignment="1" applyProtection="1">
      <alignment vertical="center" shrinkToFit="1"/>
      <protection locked="0"/>
    </xf>
    <xf numFmtId="0" fontId="37" fillId="2" borderId="79" xfId="0" applyFont="1" applyFill="1" applyBorder="1" applyAlignment="1" applyProtection="1">
      <alignment vertical="center" shrinkToFit="1"/>
      <protection locked="0"/>
    </xf>
    <xf numFmtId="0" fontId="37" fillId="2" borderId="80" xfId="0" applyFont="1" applyFill="1" applyBorder="1" applyAlignment="1" applyProtection="1">
      <alignment vertical="center" shrinkToFit="1"/>
      <protection locked="0"/>
    </xf>
    <xf numFmtId="0" fontId="37" fillId="0" borderId="29" xfId="0" applyFont="1" applyBorder="1" applyAlignment="1" applyProtection="1">
      <alignment vertical="center" wrapText="1"/>
      <protection locked="0"/>
    </xf>
    <xf numFmtId="0" fontId="37" fillId="0" borderId="0" xfId="0" applyFont="1" applyAlignment="1" applyProtection="1">
      <alignment vertical="center" wrapText="1"/>
      <protection locked="0"/>
    </xf>
    <xf numFmtId="0" fontId="37" fillId="0" borderId="9" xfId="0" applyFont="1" applyBorder="1" applyAlignment="1" applyProtection="1">
      <alignment vertical="center" wrapText="1"/>
      <protection locked="0"/>
    </xf>
    <xf numFmtId="0" fontId="37" fillId="0" borderId="21" xfId="0" applyFont="1" applyBorder="1" applyAlignment="1" applyProtection="1">
      <alignment vertical="center" wrapText="1"/>
      <protection locked="0"/>
    </xf>
    <xf numFmtId="0" fontId="37" fillId="0" borderId="71" xfId="0" applyFont="1" applyBorder="1" applyAlignment="1" applyProtection="1">
      <alignment vertical="center" shrinkToFit="1"/>
      <protection locked="0"/>
    </xf>
    <xf numFmtId="0" fontId="37" fillId="0" borderId="60" xfId="0" applyFont="1" applyBorder="1" applyAlignment="1" applyProtection="1">
      <alignment vertical="center" wrapText="1"/>
      <protection locked="0"/>
    </xf>
    <xf numFmtId="0" fontId="37" fillId="0" borderId="59" xfId="0" applyFont="1" applyBorder="1" applyAlignment="1" applyProtection="1">
      <alignment vertical="center" wrapText="1"/>
      <protection locked="0"/>
    </xf>
    <xf numFmtId="0" fontId="37" fillId="0" borderId="58" xfId="0" applyFont="1" applyBorder="1" applyAlignment="1" applyProtection="1">
      <alignment vertical="center" wrapText="1"/>
      <protection locked="0"/>
    </xf>
    <xf numFmtId="0" fontId="37" fillId="3" borderId="72" xfId="0" applyFont="1" applyFill="1" applyBorder="1" applyAlignment="1" applyProtection="1">
      <alignment vertical="center" shrinkToFit="1"/>
      <protection locked="0"/>
    </xf>
    <xf numFmtId="0" fontId="37" fillId="3" borderId="73" xfId="0" applyFont="1" applyFill="1" applyBorder="1" applyAlignment="1" applyProtection="1">
      <alignment vertical="center" shrinkToFit="1"/>
      <protection locked="0"/>
    </xf>
    <xf numFmtId="0" fontId="37" fillId="2" borderId="22" xfId="0" applyFont="1" applyFill="1" applyBorder="1" applyAlignment="1" applyProtection="1">
      <alignment vertical="center" shrinkToFit="1"/>
      <protection locked="0"/>
    </xf>
    <xf numFmtId="0" fontId="0" fillId="0" borderId="7" xfId="0" applyBorder="1" applyAlignment="1" applyProtection="1">
      <alignment vertical="center" shrinkToFit="1"/>
      <protection locked="0"/>
    </xf>
    <xf numFmtId="0" fontId="37" fillId="0" borderId="72" xfId="0" applyFont="1" applyBorder="1" applyAlignment="1" applyProtection="1">
      <alignment vertical="center"/>
      <protection locked="0"/>
    </xf>
    <xf numFmtId="0" fontId="37" fillId="0" borderId="70" xfId="0" applyFont="1" applyBorder="1" applyAlignment="1" applyProtection="1">
      <alignment vertical="center"/>
      <protection locked="0"/>
    </xf>
    <xf numFmtId="0" fontId="37" fillId="0" borderId="86" xfId="0" applyFont="1" applyBorder="1" applyAlignment="1" applyProtection="1">
      <alignment vertical="center"/>
      <protection locked="0"/>
    </xf>
    <xf numFmtId="0" fontId="37" fillId="0" borderId="91" xfId="0" applyFont="1" applyBorder="1" applyAlignment="1" applyProtection="1">
      <alignment vertical="center"/>
      <protection locked="0"/>
    </xf>
    <xf numFmtId="0" fontId="37" fillId="0" borderId="92" xfId="0" applyFont="1" applyBorder="1" applyAlignment="1" applyProtection="1">
      <alignment vertical="center"/>
      <protection locked="0"/>
    </xf>
    <xf numFmtId="0" fontId="37" fillId="0" borderId="80" xfId="0" applyFont="1" applyBorder="1" applyAlignment="1" applyProtection="1">
      <alignment vertical="center" shrinkToFit="1"/>
      <protection locked="0"/>
    </xf>
    <xf numFmtId="180" fontId="9" fillId="8" borderId="4" xfId="0" quotePrefix="1" applyNumberFormat="1" applyFont="1" applyFill="1" applyBorder="1" applyAlignment="1">
      <alignment horizontal="center" vertical="center"/>
    </xf>
    <xf numFmtId="0" fontId="11" fillId="8" borderId="0" xfId="0" quotePrefix="1" applyFont="1" applyFill="1" applyAlignment="1">
      <alignment horizontal="left" vertical="center" shrinkToFit="1"/>
    </xf>
    <xf numFmtId="0" fontId="45" fillId="8" borderId="0" xfId="0" applyFont="1" applyFill="1" applyAlignment="1">
      <alignment vertical="center" shrinkToFit="1"/>
    </xf>
    <xf numFmtId="0" fontId="0" fillId="0" borderId="0" xfId="0" applyAlignment="1">
      <alignment vertical="center" shrinkToFit="1"/>
    </xf>
    <xf numFmtId="0" fontId="10" fillId="8" borderId="33" xfId="0" quotePrefix="1" applyFont="1" applyFill="1" applyBorder="1" applyAlignment="1">
      <alignment horizontal="left" vertical="center" shrinkToFit="1"/>
    </xf>
    <xf numFmtId="0" fontId="10" fillId="8" borderId="2" xfId="0" applyFont="1" applyFill="1" applyBorder="1" applyAlignment="1">
      <alignment vertical="center" shrinkToFit="1"/>
    </xf>
    <xf numFmtId="177" fontId="6" fillId="0" borderId="12" xfId="0" applyNumberFormat="1" applyFont="1" applyBorder="1" applyAlignment="1">
      <alignment horizontal="right" vertical="center" shrinkToFit="1"/>
    </xf>
    <xf numFmtId="0" fontId="10" fillId="0" borderId="12" xfId="0" applyFont="1" applyBorder="1" applyAlignment="1">
      <alignment horizontal="right" vertical="center" shrinkToFit="1"/>
    </xf>
    <xf numFmtId="0" fontId="6" fillId="8" borderId="12" xfId="0" quotePrefix="1" applyFont="1" applyFill="1" applyBorder="1" applyAlignment="1">
      <alignment horizontal="center" vertical="center"/>
    </xf>
    <xf numFmtId="0" fontId="6" fillId="8" borderId="16" xfId="0" quotePrefix="1" applyFont="1" applyFill="1" applyBorder="1" applyAlignment="1">
      <alignment horizontal="center" vertical="center"/>
    </xf>
    <xf numFmtId="0" fontId="6" fillId="8" borderId="4" xfId="0" quotePrefix="1" applyFont="1" applyFill="1" applyBorder="1" applyAlignment="1">
      <alignment horizontal="left" vertical="center" shrinkToFit="1"/>
    </xf>
    <xf numFmtId="0" fontId="6" fillId="8" borderId="4" xfId="0" applyFont="1" applyFill="1" applyBorder="1" applyAlignment="1">
      <alignment vertical="center" shrinkToFit="1"/>
    </xf>
    <xf numFmtId="0" fontId="6" fillId="8" borderId="32" xfId="0" applyFont="1" applyFill="1" applyBorder="1" applyAlignment="1">
      <alignment vertical="center" shrinkToFit="1"/>
    </xf>
    <xf numFmtId="182" fontId="6" fillId="8" borderId="2" xfId="1" quotePrefix="1" applyNumberFormat="1" applyFont="1" applyFill="1" applyBorder="1" applyAlignment="1">
      <alignment vertical="center" shrinkToFit="1"/>
    </xf>
    <xf numFmtId="0" fontId="6" fillId="8" borderId="2" xfId="0" applyFont="1" applyFill="1" applyBorder="1" applyAlignment="1">
      <alignment vertical="center" shrinkToFit="1"/>
    </xf>
    <xf numFmtId="0" fontId="26" fillId="0" borderId="2" xfId="0" applyFont="1" applyBorder="1" applyAlignment="1">
      <alignment vertical="center" shrinkToFit="1"/>
    </xf>
    <xf numFmtId="179" fontId="6" fillId="8" borderId="4" xfId="1" applyNumberFormat="1" applyFont="1" applyFill="1" applyBorder="1" applyAlignment="1">
      <alignment horizontal="center" vertical="center" shrinkToFit="1"/>
    </xf>
    <xf numFmtId="0" fontId="10" fillId="8" borderId="4" xfId="0" applyFont="1" applyFill="1" applyBorder="1" applyAlignment="1">
      <alignment horizontal="center" vertical="center" shrinkToFit="1"/>
    </xf>
    <xf numFmtId="179" fontId="6" fillId="8" borderId="4" xfId="1" quotePrefix="1" applyNumberFormat="1" applyFont="1" applyFill="1" applyBorder="1" applyAlignment="1">
      <alignment horizontal="left" vertical="center" shrinkToFit="1"/>
    </xf>
    <xf numFmtId="0" fontId="6" fillId="8" borderId="4" xfId="0" applyFont="1" applyFill="1" applyBorder="1" applyAlignment="1">
      <alignment horizontal="left" vertical="center" shrinkToFit="1"/>
    </xf>
    <xf numFmtId="0" fontId="6" fillId="8" borderId="32" xfId="0" applyFont="1" applyFill="1" applyBorder="1" applyAlignment="1">
      <alignment horizontal="left" vertical="center" shrinkToFit="1"/>
    </xf>
    <xf numFmtId="0" fontId="0" fillId="0" borderId="4" xfId="0" applyBorder="1" applyAlignment="1">
      <alignment vertical="center" shrinkToFit="1"/>
    </xf>
    <xf numFmtId="0" fontId="0" fillId="0" borderId="32" xfId="0" applyBorder="1" applyAlignment="1">
      <alignment vertical="center" shrinkToFit="1"/>
    </xf>
    <xf numFmtId="0" fontId="6" fillId="8" borderId="32" xfId="0" quotePrefix="1" applyFont="1" applyFill="1" applyBorder="1" applyAlignment="1">
      <alignment horizontal="left" vertical="center" shrinkToFit="1"/>
    </xf>
    <xf numFmtId="0" fontId="6" fillId="7" borderId="4" xfId="0" quotePrefix="1" applyFont="1" applyFill="1" applyBorder="1" applyAlignment="1">
      <alignment horizontal="left" vertical="center" shrinkToFit="1"/>
    </xf>
    <xf numFmtId="0" fontId="6" fillId="8" borderId="10" xfId="0" quotePrefix="1" applyFont="1" applyFill="1" applyBorder="1" applyAlignment="1">
      <alignment horizontal="center" vertical="center"/>
    </xf>
    <xf numFmtId="0" fontId="11" fillId="10" borderId="0" xfId="0" quotePrefix="1" applyFont="1" applyFill="1" applyAlignment="1">
      <alignment horizontal="left" vertical="center" shrinkToFit="1"/>
    </xf>
    <xf numFmtId="0" fontId="6" fillId="10" borderId="12" xfId="0" quotePrefix="1" applyFont="1" applyFill="1" applyBorder="1" applyAlignment="1">
      <alignment horizontal="center" vertical="center"/>
    </xf>
    <xf numFmtId="0" fontId="6" fillId="10" borderId="16" xfId="0" quotePrefix="1" applyFont="1" applyFill="1" applyBorder="1" applyAlignment="1">
      <alignment horizontal="center" vertical="center"/>
    </xf>
    <xf numFmtId="180" fontId="9" fillId="10" borderId="4" xfId="0" quotePrefix="1" applyNumberFormat="1" applyFont="1" applyFill="1" applyBorder="1" applyAlignment="1">
      <alignment horizontal="center" vertical="center"/>
    </xf>
    <xf numFmtId="177" fontId="6" fillId="10" borderId="12" xfId="0" applyNumberFormat="1" applyFont="1" applyFill="1" applyBorder="1" applyAlignment="1">
      <alignment horizontal="right" vertical="center" shrinkToFit="1"/>
    </xf>
    <xf numFmtId="0" fontId="10" fillId="10" borderId="33" xfId="0" quotePrefix="1" applyFont="1" applyFill="1" applyBorder="1" applyAlignment="1">
      <alignment horizontal="left" vertical="center" shrinkToFit="1"/>
    </xf>
    <xf numFmtId="0" fontId="10" fillId="10" borderId="2" xfId="0" quotePrefix="1" applyFont="1" applyFill="1" applyBorder="1" applyAlignment="1">
      <alignment horizontal="left" vertical="center" shrinkToFit="1"/>
    </xf>
    <xf numFmtId="0" fontId="6" fillId="8" borderId="14" xfId="0" quotePrefix="1" applyFont="1" applyFill="1" applyBorder="1" applyAlignment="1">
      <alignment horizontal="center" vertical="center"/>
    </xf>
    <xf numFmtId="0" fontId="6" fillId="8" borderId="6" xfId="0" quotePrefix="1" applyFont="1" applyFill="1" applyBorder="1" applyAlignment="1">
      <alignment horizontal="center" vertical="center"/>
    </xf>
    <xf numFmtId="0" fontId="6" fillId="8" borderId="8" xfId="0" quotePrefix="1" applyFont="1" applyFill="1" applyBorder="1" applyAlignment="1">
      <alignment horizontal="center" vertical="center"/>
    </xf>
    <xf numFmtId="0" fontId="0" fillId="8" borderId="4" xfId="0" applyFill="1" applyBorder="1" applyAlignment="1">
      <alignment vertical="center" shrinkToFit="1"/>
    </xf>
    <xf numFmtId="0" fontId="0" fillId="8" borderId="32" xfId="0" applyFill="1" applyBorder="1" applyAlignment="1">
      <alignment vertical="center" shrinkToFit="1"/>
    </xf>
    <xf numFmtId="0" fontId="6" fillId="8" borderId="4" xfId="0" quotePrefix="1" applyFont="1" applyFill="1" applyBorder="1" applyAlignment="1">
      <alignment horizontal="left" vertical="center"/>
    </xf>
    <xf numFmtId="0" fontId="6" fillId="8" borderId="4" xfId="0" applyFont="1" applyFill="1" applyBorder="1" applyAlignment="1">
      <alignment vertical="center"/>
    </xf>
    <xf numFmtId="0" fontId="6" fillId="7" borderId="4" xfId="0" applyFont="1" applyFill="1" applyBorder="1" applyAlignment="1">
      <alignment vertical="center" shrinkToFit="1"/>
    </xf>
    <xf numFmtId="0" fontId="10" fillId="7" borderId="4" xfId="0" applyFont="1" applyFill="1" applyBorder="1" applyAlignment="1">
      <alignment vertical="center" shrinkToFit="1"/>
    </xf>
    <xf numFmtId="0" fontId="10" fillId="7" borderId="32" xfId="0" applyFont="1" applyFill="1" applyBorder="1" applyAlignment="1">
      <alignment vertical="center" shrinkToFit="1"/>
    </xf>
    <xf numFmtId="0" fontId="10" fillId="8" borderId="4" xfId="0" applyFont="1" applyFill="1" applyBorder="1" applyAlignment="1">
      <alignment vertical="center" shrinkToFit="1"/>
    </xf>
    <xf numFmtId="0" fontId="10" fillId="8" borderId="32" xfId="0" applyFont="1" applyFill="1" applyBorder="1" applyAlignment="1">
      <alignment vertical="center" shrinkToFit="1"/>
    </xf>
    <xf numFmtId="0" fontId="6" fillId="0" borderId="11" xfId="0" applyFont="1" applyBorder="1" applyAlignment="1">
      <alignment horizontal="left" vertical="center" shrinkToFit="1"/>
    </xf>
    <xf numFmtId="0" fontId="10" fillId="0" borderId="4" xfId="0" applyFont="1" applyBorder="1" applyAlignment="1">
      <alignment vertical="center" shrinkToFit="1"/>
    </xf>
    <xf numFmtId="0" fontId="10" fillId="0" borderId="32" xfId="0" applyFont="1" applyBorder="1" applyAlignment="1">
      <alignment vertical="center" shrinkToFit="1"/>
    </xf>
    <xf numFmtId="179" fontId="6" fillId="7" borderId="4" xfId="1" quotePrefix="1" applyNumberFormat="1" applyFont="1" applyFill="1" applyBorder="1" applyAlignment="1">
      <alignment horizontal="left" vertical="center" shrinkToFit="1"/>
    </xf>
    <xf numFmtId="0" fontId="6" fillId="7" borderId="4" xfId="0" applyFont="1" applyFill="1" applyBorder="1" applyAlignment="1">
      <alignment horizontal="left" vertical="center" shrinkToFit="1"/>
    </xf>
    <xf numFmtId="0" fontId="6" fillId="7" borderId="32" xfId="0" applyFont="1" applyFill="1" applyBorder="1" applyAlignment="1">
      <alignment horizontal="left" vertical="center" shrinkToFit="1"/>
    </xf>
    <xf numFmtId="179" fontId="6" fillId="7" borderId="32" xfId="1" quotePrefix="1" applyNumberFormat="1" applyFont="1" applyFill="1" applyBorder="1" applyAlignment="1">
      <alignment horizontal="left" vertical="center" shrinkToFit="1"/>
    </xf>
    <xf numFmtId="0" fontId="6" fillId="7" borderId="32" xfId="0" applyFont="1" applyFill="1" applyBorder="1" applyAlignment="1">
      <alignment vertical="center" shrinkToFit="1"/>
    </xf>
    <xf numFmtId="182" fontId="6" fillId="10" borderId="2" xfId="1" quotePrefix="1" applyNumberFormat="1" applyFont="1" applyFill="1" applyBorder="1" applyAlignment="1">
      <alignment vertical="center"/>
    </xf>
    <xf numFmtId="0" fontId="10" fillId="10" borderId="2" xfId="0" applyFont="1" applyFill="1" applyBorder="1" applyAlignment="1">
      <alignment vertical="center"/>
    </xf>
    <xf numFmtId="0" fontId="10" fillId="10" borderId="2" xfId="0" applyFont="1" applyFill="1" applyBorder="1" applyAlignment="1">
      <alignment vertical="center" shrinkToFit="1"/>
    </xf>
    <xf numFmtId="0" fontId="10" fillId="10" borderId="12" xfId="0" applyFont="1" applyFill="1" applyBorder="1" applyAlignment="1">
      <alignment horizontal="right" vertical="center" shrinkToFit="1"/>
    </xf>
    <xf numFmtId="0" fontId="6" fillId="8" borderId="11" xfId="0" applyFont="1" applyFill="1" applyBorder="1" applyAlignment="1">
      <alignment horizontal="left" vertical="center" shrinkToFit="1"/>
    </xf>
    <xf numFmtId="0" fontId="45" fillId="10" borderId="0" xfId="0" applyFont="1" applyFill="1" applyAlignment="1">
      <alignment vertical="center" shrinkToFit="1"/>
    </xf>
    <xf numFmtId="0" fontId="6" fillId="3" borderId="4" xfId="0" quotePrefix="1" applyFont="1" applyFill="1" applyBorder="1" applyAlignment="1">
      <alignment horizontal="left" vertical="center" shrinkToFit="1"/>
    </xf>
    <xf numFmtId="0" fontId="6" fillId="3" borderId="4" xfId="0" applyFont="1" applyFill="1" applyBorder="1" applyAlignment="1">
      <alignment vertical="center" shrinkToFit="1"/>
    </xf>
    <xf numFmtId="0" fontId="6" fillId="7" borderId="4" xfId="0" quotePrefix="1" applyFont="1" applyFill="1" applyBorder="1" applyAlignment="1">
      <alignment horizontal="left" vertical="center"/>
    </xf>
    <xf numFmtId="0" fontId="6" fillId="0" borderId="4" xfId="0" applyFont="1" applyBorder="1" applyAlignment="1">
      <alignment vertical="center"/>
    </xf>
    <xf numFmtId="0" fontId="6" fillId="0" borderId="4" xfId="0" applyFont="1" applyBorder="1" applyAlignment="1">
      <alignment vertical="center" shrinkToFit="1"/>
    </xf>
    <xf numFmtId="0" fontId="10" fillId="8" borderId="4" xfId="0" applyFont="1" applyFill="1" applyBorder="1" applyAlignment="1">
      <alignment vertical="center"/>
    </xf>
    <xf numFmtId="0" fontId="10" fillId="8" borderId="32" xfId="0" applyFont="1" applyFill="1" applyBorder="1" applyAlignment="1">
      <alignment vertical="center"/>
    </xf>
    <xf numFmtId="0" fontId="10" fillId="0" borderId="4" xfId="0" applyFont="1" applyBorder="1" applyAlignment="1">
      <alignment vertical="center"/>
    </xf>
    <xf numFmtId="0" fontId="10" fillId="0" borderId="32" xfId="0" applyFont="1" applyBorder="1" applyAlignment="1">
      <alignment vertical="center"/>
    </xf>
  </cellXfs>
  <cellStyles count="33">
    <cellStyle name="桁区切り" xfId="1" builtinId="6"/>
    <cellStyle name="桁区切り 2" xfId="2" xr:uid="{00000000-0005-0000-0000-000001000000}"/>
    <cellStyle name="桁区切り 2 2" xfId="29" xr:uid="{11DC4DE7-34B5-4F3A-9610-91763AD8B697}"/>
    <cellStyle name="桁区切り 3" xfId="25" xr:uid="{8E08AAB3-33BB-40E4-8E1D-1C826C4569CF}"/>
    <cellStyle name="通貨" xfId="30" builtinId="7"/>
    <cellStyle name="通貨 2" xfId="3" xr:uid="{00000000-0005-0000-0000-000002000000}"/>
    <cellStyle name="通貨 2 2" xfId="4" xr:uid="{00000000-0005-0000-0000-000003000000}"/>
    <cellStyle name="通貨 2 2 2" xfId="10" xr:uid="{01018636-CDE5-4D2E-AA35-3A2285DE1F4B}"/>
    <cellStyle name="通貨 2 2 2 2" xfId="13" xr:uid="{86BF8671-6E52-42BE-8791-44B3CB962538}"/>
    <cellStyle name="通貨 2 2 2 2 2" xfId="19" xr:uid="{1D96CC2A-2880-4F36-84CA-622048F3B53B}"/>
    <cellStyle name="通貨 2 2 2 3" xfId="16" xr:uid="{E25160A0-8C54-46FD-903E-F31A6DF63B9F}"/>
    <cellStyle name="通貨 2 2 2 4" xfId="22" xr:uid="{022EA5E1-C9D7-4CC3-8859-0CDABE25802E}"/>
    <cellStyle name="通貨 2 3" xfId="9" xr:uid="{DB003B65-748B-42DD-B3EB-A37F2A9CB28C}"/>
    <cellStyle name="通貨 2 3 2" xfId="12" xr:uid="{0E8A3B33-35FB-4C77-93ED-35C9AF01D6A6}"/>
    <cellStyle name="通貨 2 3 2 2" xfId="18" xr:uid="{AC19BD32-0CE7-4DFC-9ABE-813F80EF6F38}"/>
    <cellStyle name="通貨 2 3 3" xfId="15" xr:uid="{E0495935-C53B-4B91-8457-2FE5803DBD42}"/>
    <cellStyle name="通貨 2 3 4" xfId="21" xr:uid="{74B519A3-11C9-4BC3-86A8-759D7D9BACCE}"/>
    <cellStyle name="通貨 2 4" xfId="26" xr:uid="{F49C4968-D849-4DEB-A668-9CA54453BA9B}"/>
    <cellStyle name="通貨 3" xfId="5" xr:uid="{00000000-0005-0000-0000-000004000000}"/>
    <cellStyle name="通貨 3 2" xfId="11" xr:uid="{D1482633-89B3-4427-A52D-93DE16323332}"/>
    <cellStyle name="通貨 3 2 2" xfId="14" xr:uid="{062D4C3D-0823-4293-B53B-C381D8E82A88}"/>
    <cellStyle name="通貨 3 2 2 2" xfId="20" xr:uid="{72463E93-DEAE-4E51-9685-3DB561777B9A}"/>
    <cellStyle name="通貨 3 2 3" xfId="17" xr:uid="{146715AD-AF39-4CC2-8FAC-4F7B6BAF1ED8}"/>
    <cellStyle name="通貨 3 2 4" xfId="23" xr:uid="{3684122B-696F-4C4D-B118-45416A2D04AF}"/>
    <cellStyle name="通貨 4" xfId="27" xr:uid="{3DC27D8B-D7DF-421B-B08E-8AB21B614BE8}"/>
    <cellStyle name="通貨 5" xfId="32" xr:uid="{5EF93934-38C8-459F-B44E-D8FEF2578858}"/>
    <cellStyle name="標準" xfId="0" builtinId="0"/>
    <cellStyle name="標準 2" xfId="6" xr:uid="{00000000-0005-0000-0000-000006000000}"/>
    <cellStyle name="標準 2 2" xfId="28" xr:uid="{64041C1C-E9F2-4F01-8072-F65A5192CD6C}"/>
    <cellStyle name="標準 3" xfId="24" xr:uid="{84E38A93-F7A4-4413-B309-8AA657235416}"/>
    <cellStyle name="標準 4" xfId="31" xr:uid="{4DFA6CEC-03B1-45B1-B40F-0D62DD30B434}"/>
    <cellStyle name="標準_☆0900260浅草2丁目マンション" xfId="7" xr:uid="{00000000-0005-0000-0000-000007000000}"/>
    <cellStyle name="標準_送付のご案内070105PMC" xfId="8" xr:uid="{00000000-0005-0000-0000-000008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基本入力データシート!$M$22" lockText="1" noThreeD="1"/>
</file>

<file path=xl/ctrlProps/ctrlProp2.xml><?xml version="1.0" encoding="utf-8"?>
<formControlPr xmlns="http://schemas.microsoft.com/office/spreadsheetml/2009/9/main" objectType="CheckBox" fmlaLink="基本入力データシート!$M$20" lockText="1" noThreeD="1"/>
</file>

<file path=xl/ctrlProps/ctrlProp3.xml><?xml version="1.0" encoding="utf-8"?>
<formControlPr xmlns="http://schemas.microsoft.com/office/spreadsheetml/2009/9/main" objectType="CheckBox" checked="Checked" fmlaLink="基本入力データシート!$M$6" lockText="1" noThreeD="1"/>
</file>

<file path=xl/ctrlProps/ctrlProp4.xml><?xml version="1.0" encoding="utf-8"?>
<formControlPr xmlns="http://schemas.microsoft.com/office/spreadsheetml/2009/9/main" objectType="CheckBox" checked="Checked" fmlaLink="基本入力データシート!$M$5" lockText="1" noThreeD="1"/>
</file>

<file path=xl/ctrlProps/ctrlProp5.xml><?xml version="1.0" encoding="utf-8"?>
<formControlPr xmlns="http://schemas.microsoft.com/office/spreadsheetml/2009/9/main" objectType="CheckBox" fmlaLink="基本入力データシート!$M$18" lockText="1" noThreeD="1"/>
</file>

<file path=xl/ctrlProps/ctrlProp6.xml><?xml version="1.0" encoding="utf-8"?>
<formControlPr xmlns="http://schemas.microsoft.com/office/spreadsheetml/2009/9/main" objectType="CheckBox" fmlaLink="基本入力データシート!$M$30" lockText="1" noThreeD="1"/>
</file>

<file path=xl/ctrlProps/ctrlProp7.xml><?xml version="1.0" encoding="utf-8"?>
<formControlPr xmlns="http://schemas.microsoft.com/office/spreadsheetml/2009/9/main" objectType="CheckBox" fmlaLink="基本入力データシート!$M$32" lockText="1" noThreeD="1"/>
</file>

<file path=xl/ctrlProps/ctrlProp8.xml><?xml version="1.0" encoding="utf-8"?>
<formControlPr xmlns="http://schemas.microsoft.com/office/spreadsheetml/2009/9/main" objectType="CheckBox" fmlaLink="基本入力データシート!$M$17" lockText="1" noThreeD="1"/>
</file>

<file path=xl/ctrlProps/ctrlProp9.xml><?xml version="1.0" encoding="utf-8"?>
<formControlPr xmlns="http://schemas.microsoft.com/office/spreadsheetml/2009/9/main" objectType="CheckBox" fmlaLink="基本入力データシート!$M$33" lockText="1" noThreeD="1"/>
</file>

<file path=xl/ctrlProps/ctrlProp10.xml><?xml version="1.0" encoding="utf-8"?>
<formControlPr xmlns="http://schemas.microsoft.com/office/spreadsheetml/2009/9/main" objectType="CheckBox" fmlaLink="基本入力データシート!$M$34" lockText="1" noThreeD="1"/>
</file>

<file path=xl/ctrlProps/ctrlProp11.xml><?xml version="1.0" encoding="utf-8"?>
<formControlPr xmlns="http://schemas.microsoft.com/office/spreadsheetml/2009/9/main" objectType="CheckBox" fmlaLink="基本入力データシート!$M$36" lockText="1" noThreeD="1"/>
</file>

<file path=xl/ctrlProps/ctrlProp12.xml><?xml version="1.0" encoding="utf-8"?>
<formControlPr xmlns="http://schemas.microsoft.com/office/spreadsheetml/2009/9/main" objectType="CheckBox" checked="Checked" fmlaLink="基本入力データシート!$M$10" lockText="1" noThreeD="1"/>
</file>

<file path=xl/ctrlProps/ctrlProp13.xml><?xml version="1.0" encoding="utf-8"?>
<formControlPr xmlns="http://schemas.microsoft.com/office/spreadsheetml/2009/9/main" objectType="CheckBox" checked="Checked" fmlaLink="基本入力データシート!$M$11" lockText="1" noThreeD="1"/>
</file>

<file path=xl/ctrlProps/ctrlProp14.xml><?xml version="1.0" encoding="utf-8"?>
<formControlPr xmlns="http://schemas.microsoft.com/office/spreadsheetml/2009/9/main" objectType="CheckBox" fmlaLink="基本入力データシート!$M$28" lockText="1" noThreeD="1"/>
</file>

<file path=xl/ctrlProps/ctrlProp15.xml><?xml version="1.0" encoding="utf-8"?>
<formControlPr xmlns="http://schemas.microsoft.com/office/spreadsheetml/2009/9/main" objectType="CheckBox" checked="Checked" fmlaLink="基本入力データシート!$M$7" lockText="1" noThreeD="1"/>
</file>

<file path=xl/ctrlProps/ctrlProp16.xml><?xml version="1.0" encoding="utf-8"?>
<formControlPr xmlns="http://schemas.microsoft.com/office/spreadsheetml/2009/9/main" objectType="CheckBox" checked="Checked" fmlaLink="基本入力データシート!$M$9" lockText="1" noThreeD="1"/>
</file>

<file path=xl/ctrlProps/ctrlProp17.xml><?xml version="1.0" encoding="utf-8"?>
<formControlPr xmlns="http://schemas.microsoft.com/office/spreadsheetml/2009/9/main" objectType="CheckBox" fmlaLink="基本入力データシート!$M$21" lockText="1" noThreeD="1"/>
</file>

<file path=xl/ctrlProps/ctrlProp18.xml><?xml version="1.0" encoding="utf-8"?>
<formControlPr xmlns="http://schemas.microsoft.com/office/spreadsheetml/2009/9/main" objectType="CheckBox" fmlaLink="基本入力データシート!$M$19" lockText="1" noThreeD="1"/>
</file>

<file path=xl/ctrlProps/ctrlProp19.xml><?xml version="1.0" encoding="utf-8"?>
<formControlPr xmlns="http://schemas.microsoft.com/office/spreadsheetml/2009/9/main" objectType="CheckBox" fmlaLink="基本入力データシート!$M$24" lockText="1" noThreeD="1"/>
</file>

<file path=xl/ctrlProps/ctrlProp20.xml><?xml version="1.0" encoding="utf-8"?>
<formControlPr xmlns="http://schemas.microsoft.com/office/spreadsheetml/2009/9/main" objectType="CheckBox" checked="Checked" fmlaLink="基本入力データシート!$M$8" lockText="1" noThreeD="1"/>
</file>

<file path=xl/ctrlProps/ctrlProp21.xml><?xml version="1.0" encoding="utf-8"?>
<formControlPr xmlns="http://schemas.microsoft.com/office/spreadsheetml/2009/9/main" objectType="CheckBox" checked="Checked" fmlaLink="基本入力データシート!$M$12" lockText="1" noThreeD="1"/>
</file>

<file path=xl/ctrlProps/ctrlProp22.xml><?xml version="1.0" encoding="utf-8"?>
<formControlPr xmlns="http://schemas.microsoft.com/office/spreadsheetml/2009/9/main" objectType="CheckBox" fmlaLink="基本入力データシート!$M$29" lockText="1" noThreeD="1"/>
</file>

<file path=xl/ctrlProps/ctrlProp23.xml><?xml version="1.0" encoding="utf-8"?>
<formControlPr xmlns="http://schemas.microsoft.com/office/spreadsheetml/2009/9/main" objectType="CheckBox" fmlaLink="基本入力データシート!$M$31" lockText="1" noThreeD="1"/>
</file>

<file path=xl/ctrlProps/ctrlProp24.xml><?xml version="1.0" encoding="utf-8"?>
<formControlPr xmlns="http://schemas.microsoft.com/office/spreadsheetml/2009/9/main" objectType="CheckBox" fmlaLink="基本入力データシート!$M$16" lockText="1" noThreeD="1"/>
</file>

<file path=xl/ctrlProps/ctrlProp25.xml><?xml version="1.0" encoding="utf-8"?>
<formControlPr xmlns="http://schemas.microsoft.com/office/spreadsheetml/2009/9/main" objectType="CheckBox" fmlaLink="基本入力データシート!$M$35" lockText="1" noThreeD="1"/>
</file>

<file path=xl/ctrlProps/ctrlProp26.xml><?xml version="1.0" encoding="utf-8"?>
<formControlPr xmlns="http://schemas.microsoft.com/office/spreadsheetml/2009/9/main" objectType="CheckBox" checked="Checked" fmlaLink="基本入力データシート!$M$14" lockText="1" noThreeD="1"/>
</file>

<file path=xl/ctrlProps/ctrlProp27.xml><?xml version="1.0" encoding="utf-8"?>
<formControlPr xmlns="http://schemas.microsoft.com/office/spreadsheetml/2009/9/main" objectType="CheckBox" fmlaLink="基本入力データシート!$M$13" lockText="1" noThreeD="1"/>
</file>

<file path=xl/ctrlProps/ctrlProp28.xml><?xml version="1.0" encoding="utf-8"?>
<formControlPr xmlns="http://schemas.microsoft.com/office/spreadsheetml/2009/9/main" objectType="CheckBox" fmlaLink="基本入力データシート!$M$15" lockText="1" noThreeD="1"/>
</file>

<file path=xl/ctrlProps/ctrlProp29.xml><?xml version="1.0" encoding="utf-8"?>
<formControlPr xmlns="http://schemas.microsoft.com/office/spreadsheetml/2009/9/main" objectType="CheckBox" checked="Checked" fmlaLink="基本入力データシート!$M$4" lockText="1" noThreeD="1"/>
</file>

<file path=xl/ctrlProps/ctrlProp30.xml><?xml version="1.0" encoding="utf-8"?>
<formControlPr xmlns="http://schemas.microsoft.com/office/spreadsheetml/2009/9/main" objectType="CheckBox" fmlaLink="基本入力データシート!$M$3" lockText="1" noThreeD="1"/>
</file>

<file path=xl/ctrlProps/ctrlProp31.xml><?xml version="1.0" encoding="utf-8"?>
<formControlPr xmlns="http://schemas.microsoft.com/office/spreadsheetml/2009/9/main" objectType="CheckBox" fmlaLink="基本入力データシート!$M$47" lockText="1" noThreeD="1"/>
</file>

<file path=xl/ctrlProps/ctrlProp32.xml><?xml version="1.0" encoding="utf-8"?>
<formControlPr xmlns="http://schemas.microsoft.com/office/spreadsheetml/2009/9/main" objectType="CheckBox" fmlaLink="基本入力データシート!$M$48" lockText="1" noThreeD="1"/>
</file>

<file path=xl/ctrlProps/ctrlProp33.xml><?xml version="1.0" encoding="utf-8"?>
<formControlPr xmlns="http://schemas.microsoft.com/office/spreadsheetml/2009/9/main" objectType="CheckBox" fmlaLink="基本入力データシート!$M$50" lockText="1" noThreeD="1"/>
</file>

<file path=xl/ctrlProps/ctrlProp34.xml><?xml version="1.0" encoding="utf-8"?>
<formControlPr xmlns="http://schemas.microsoft.com/office/spreadsheetml/2009/9/main" objectType="CheckBox" fmlaLink="基本入力データシート!$M$49" lockText="1" noThreeD="1"/>
</file>

<file path=xl/ctrlProps/ctrlProp35.xml><?xml version="1.0" encoding="utf-8"?>
<formControlPr xmlns="http://schemas.microsoft.com/office/spreadsheetml/2009/9/main" objectType="CheckBox" fmlaLink="基本入力データシート!$M$37" lockText="1" noThreeD="1"/>
</file>

<file path=xl/ctrlProps/ctrlProp36.xml><?xml version="1.0" encoding="utf-8"?>
<formControlPr xmlns="http://schemas.microsoft.com/office/spreadsheetml/2009/9/main" objectType="CheckBox" fmlaLink="基本入力データシート!$M$52" lockText="1" noThreeD="1"/>
</file>

<file path=xl/ctrlProps/ctrlProp37.xml><?xml version="1.0" encoding="utf-8"?>
<formControlPr xmlns="http://schemas.microsoft.com/office/spreadsheetml/2009/9/main" objectType="CheckBox" fmlaLink="基本入力データシート!$M$51" lockText="1" noThreeD="1"/>
</file>

<file path=xl/ctrlProps/ctrlProp38.xml><?xml version="1.0" encoding="utf-8"?>
<formControlPr xmlns="http://schemas.microsoft.com/office/spreadsheetml/2009/9/main" objectType="CheckBox" fmlaLink="基本入力データシート!$M$27" lockText="1" noThreeD="1"/>
</file>

<file path=xl/ctrlProps/ctrlProp39.xml><?xml version="1.0" encoding="utf-8"?>
<formControlPr xmlns="http://schemas.microsoft.com/office/spreadsheetml/2009/9/main" objectType="CheckBox" fmlaLink="基本入力データシート!$M$26" lockText="1" noThreeD="1"/>
</file>

<file path=xl/ctrlProps/ctrlProp40.xml><?xml version="1.0" encoding="utf-8"?>
<formControlPr xmlns="http://schemas.microsoft.com/office/spreadsheetml/2009/9/main" objectType="CheckBox" fmlaLink="基本入力データシート!$M$25" lockText="1" noThreeD="1"/>
</file>

<file path=xl/ctrlProps/ctrlProp41.xml><?xml version="1.0" encoding="utf-8"?>
<formControlPr xmlns="http://schemas.microsoft.com/office/spreadsheetml/2009/9/main" objectType="CheckBox" fmlaLink="基本入力データシート!$M$53" lockText="1" noThreeD="1"/>
</file>

<file path=xl/ctrlProps/ctrlProp42.xml><?xml version="1.0" encoding="utf-8"?>
<formControlPr xmlns="http://schemas.microsoft.com/office/spreadsheetml/2009/9/main" objectType="CheckBox" fmlaLink="基本入力データシート!$M$23" lockText="1" noThreeD="1"/>
</file>

<file path=xl/ctrlProps/ctrlProp43.xml><?xml version="1.0" encoding="utf-8"?>
<formControlPr xmlns="http://schemas.microsoft.com/office/spreadsheetml/2009/9/main" objectType="CheckBox" fmlaLink="基本入力データシート!$M$5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51</xdr:row>
          <xdr:rowOff>47625</xdr:rowOff>
        </xdr:from>
        <xdr:to>
          <xdr:col>6</xdr:col>
          <xdr:colOff>762000</xdr:colOff>
          <xdr:row>51</xdr:row>
          <xdr:rowOff>285750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2-2[共同住宅等]感知警報装置設置等級(他住戸等火災時)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49</xdr:row>
          <xdr:rowOff>19050</xdr:rowOff>
        </xdr:from>
        <xdr:to>
          <xdr:col>6</xdr:col>
          <xdr:colOff>819150</xdr:colOff>
          <xdr:row>49</xdr:row>
          <xdr:rowOff>266700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1-5耐積雪等級(構造躯体の倒壊等防止及び損傷防止)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49</xdr:row>
          <xdr:rowOff>47625</xdr:rowOff>
        </xdr:from>
        <xdr:to>
          <xdr:col>7</xdr:col>
          <xdr:colOff>1304925</xdr:colOff>
          <xdr:row>49</xdr:row>
          <xdr:rowOff>276225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1-6【必須】地盤又は杭の許容支持力等及びその設定方法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48</xdr:row>
          <xdr:rowOff>47625</xdr:rowOff>
        </xdr:from>
        <xdr:to>
          <xdr:col>7</xdr:col>
          <xdr:colOff>1914525</xdr:colOff>
          <xdr:row>48</xdr:row>
          <xdr:rowOff>257175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1-3【必須】その他(地震に対する構造躯体の倒壊等防止及び損傷防止)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48</xdr:row>
          <xdr:rowOff>28575</xdr:rowOff>
        </xdr:from>
        <xdr:to>
          <xdr:col>6</xdr:col>
          <xdr:colOff>438150</xdr:colOff>
          <xdr:row>48</xdr:row>
          <xdr:rowOff>266700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1-2耐震等級(構造躯体の損傷防止)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56</xdr:row>
          <xdr:rowOff>38100</xdr:rowOff>
        </xdr:from>
        <xdr:to>
          <xdr:col>5</xdr:col>
          <xdr:colOff>1152525</xdr:colOff>
          <xdr:row>56</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6-2換気対策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38100</xdr:rowOff>
        </xdr:from>
        <xdr:to>
          <xdr:col>5</xdr:col>
          <xdr:colOff>1343025</xdr:colOff>
          <xdr:row>57</xdr:row>
          <xdr:rowOff>266700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7-2方位別開口比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58</xdr:row>
          <xdr:rowOff>38100</xdr:rowOff>
        </xdr:from>
        <xdr:to>
          <xdr:col>5</xdr:col>
          <xdr:colOff>2219325</xdr:colOff>
          <xdr:row>58</xdr:row>
          <xdr:rowOff>266700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solidFill>
              <a:srgbClr val="FF6600" mc:Ignorable="a14" a14:legacySpreadsheetColorIndex="5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8-2[共同住宅等]軽量床衝撃音対策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58</xdr:row>
          <xdr:rowOff>38100</xdr:rowOff>
        </xdr:from>
        <xdr:to>
          <xdr:col>6</xdr:col>
          <xdr:colOff>2219325</xdr:colOff>
          <xdr:row>58</xdr:row>
          <xdr:rowOff>266700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8-3[共同住宅等]透過損失等級(界壁)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38100</xdr:rowOff>
        </xdr:from>
        <xdr:to>
          <xdr:col>7</xdr:col>
          <xdr:colOff>2219325</xdr:colOff>
          <xdr:row>58</xdr:row>
          <xdr:rowOff>266700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8-4透過損失等級(外壁開口部)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38100</xdr:rowOff>
        </xdr:from>
        <xdr:to>
          <xdr:col>6</xdr:col>
          <xdr:colOff>190500</xdr:colOff>
          <xdr:row>59</xdr:row>
          <xdr:rowOff>266700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9-2[共同住宅等]高齢者等配慮対策等(共用部分)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2371725</xdr:colOff>
          <xdr:row>54</xdr:row>
          <xdr:rowOff>47625</xdr:rowOff>
        </xdr:from>
        <xdr:to>
          <xdr:col>6</xdr:col>
          <xdr:colOff>161925</xdr:colOff>
          <xdr:row>54</xdr:row>
          <xdr:rowOff>276225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4-2【必須/共同住宅等】維持管理対策等級(共用配管)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54</xdr:row>
          <xdr:rowOff>57150</xdr:rowOff>
        </xdr:from>
        <xdr:to>
          <xdr:col>7</xdr:col>
          <xdr:colOff>219075</xdr:colOff>
          <xdr:row>54</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4-3【必須/共同住宅等】更新対策(共用排水管)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54</xdr:row>
          <xdr:rowOff>38100</xdr:rowOff>
        </xdr:from>
        <xdr:to>
          <xdr:col>7</xdr:col>
          <xdr:colOff>2533650</xdr:colOff>
          <xdr:row>54</xdr:row>
          <xdr:rowOff>276225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4-4[共同住宅等]更新対策(住戸専用部)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50</xdr:row>
          <xdr:rowOff>57150</xdr:rowOff>
        </xdr:from>
        <xdr:to>
          <xdr:col>4</xdr:col>
          <xdr:colOff>2247900</xdr:colOff>
          <xdr:row>50</xdr:row>
          <xdr:rowOff>266700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CC99FF" mc:Ignorable="a14" a14:legacySpreadsheetColorIndex="46"/>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1-7【必須】基礎の構造方法及び形式等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54</xdr:row>
          <xdr:rowOff>47625</xdr:rowOff>
        </xdr:from>
        <xdr:to>
          <xdr:col>4</xdr:col>
          <xdr:colOff>2286000</xdr:colOff>
          <xdr:row>54</xdr:row>
          <xdr:rowOff>257175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4-1【必須】維持管理対策等級(専用配管)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51</xdr:row>
          <xdr:rowOff>47625</xdr:rowOff>
        </xdr:from>
        <xdr:to>
          <xdr:col>4</xdr:col>
          <xdr:colOff>2466975</xdr:colOff>
          <xdr:row>51</xdr:row>
          <xdr:rowOff>266700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2-1感知警報装置設置等級(自住戸火災時)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0</xdr:rowOff>
        </xdr:from>
        <xdr:to>
          <xdr:col>5</xdr:col>
          <xdr:colOff>304800</xdr:colOff>
          <xdr:row>49</xdr:row>
          <xdr:rowOff>276225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1-4耐風等級(構造躯体の倒壊等防止及び損傷防止)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28575</xdr:rowOff>
        </xdr:from>
        <xdr:to>
          <xdr:col>4</xdr:col>
          <xdr:colOff>1466850</xdr:colOff>
          <xdr:row>52</xdr:row>
          <xdr:rowOff>257175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2-4脱出対策(火災時)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47625</xdr:rowOff>
        </xdr:from>
        <xdr:to>
          <xdr:col>4</xdr:col>
          <xdr:colOff>2219325</xdr:colOff>
          <xdr:row>53</xdr:row>
          <xdr:rowOff>247650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3-1【必須】劣化対策等級(構造躯体等)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55</xdr:row>
          <xdr:rowOff>47625</xdr:rowOff>
        </xdr:from>
        <xdr:to>
          <xdr:col>4</xdr:col>
          <xdr:colOff>2057400</xdr:colOff>
          <xdr:row>55</xdr:row>
          <xdr:rowOff>266700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5-1【必須/等級1】断熱等性能等級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xdr:row>
          <xdr:rowOff>47625</xdr:rowOff>
        </xdr:from>
        <xdr:to>
          <xdr:col>4</xdr:col>
          <xdr:colOff>2438400</xdr:colOff>
          <xdr:row>56</xdr:row>
          <xdr:rowOff>266700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6-1ホルムアルデヒド対策(内装及び天井裏等)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57</xdr:row>
          <xdr:rowOff>47625</xdr:rowOff>
        </xdr:from>
        <xdr:to>
          <xdr:col>4</xdr:col>
          <xdr:colOff>1343025</xdr:colOff>
          <xdr:row>57</xdr:row>
          <xdr:rowOff>257175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7-1単純開口率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58</xdr:row>
          <xdr:rowOff>47625</xdr:rowOff>
        </xdr:from>
        <xdr:to>
          <xdr:col>4</xdr:col>
          <xdr:colOff>2181225</xdr:colOff>
          <xdr:row>58</xdr:row>
          <xdr:rowOff>257175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solidFill>
              <a:srgbClr val="FF6600" mc:Ignorable="a14" a14:legacySpreadsheetColorIndex="5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8-1[共同住宅等]重量床衝撃音対策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xdr:row>
          <xdr:rowOff>38100</xdr:rowOff>
        </xdr:from>
        <xdr:to>
          <xdr:col>4</xdr:col>
          <xdr:colOff>2390775</xdr:colOff>
          <xdr:row>59</xdr:row>
          <xdr:rowOff>266700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9-1高齢者等配慮対策等級(専用部分)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55</xdr:row>
          <xdr:rowOff>47625</xdr:rowOff>
        </xdr:from>
        <xdr:to>
          <xdr:col>6</xdr:col>
          <xdr:colOff>2324100</xdr:colOff>
          <xdr:row>55</xdr:row>
          <xdr:rowOff>266700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5-2【必須/等級1】一次エネルギ-消費量等級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2133600</xdr:colOff>
          <xdr:row>55</xdr:row>
          <xdr:rowOff>57150</xdr:rowOff>
        </xdr:from>
        <xdr:to>
          <xdr:col>5</xdr:col>
          <xdr:colOff>1390650</xdr:colOff>
          <xdr:row>55</xdr:row>
          <xdr:rowOff>276225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solidFill>
              <a:srgbClr val="FF6600" mc:Ignorable="a14" a14:legacySpreadsheetColorIndex="5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5-1で等級1以外　特殊加算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2409825</xdr:colOff>
          <xdr:row>55</xdr:row>
          <xdr:rowOff>57150</xdr:rowOff>
        </xdr:from>
        <xdr:to>
          <xdr:col>7</xdr:col>
          <xdr:colOff>1695450</xdr:colOff>
          <xdr:row>55</xdr:row>
          <xdr:rowOff>276225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solidFill>
              <a:srgbClr val="FF6600" mc:Ignorable="a14" a14:legacySpreadsheetColorIndex="5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5-2　等級１以外　特殊加算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57150</xdr:rowOff>
        </xdr:from>
        <xdr:to>
          <xdr:col>5</xdr:col>
          <xdr:colOff>0</xdr:colOff>
          <xdr:row>48</xdr:row>
          <xdr:rowOff>247650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1-1【必須】耐震等級(構造躯体の倒壊等防止)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47</xdr:row>
          <xdr:rowOff>57150</xdr:rowOff>
        </xdr:from>
        <xdr:to>
          <xdr:col>4</xdr:col>
          <xdr:colOff>1866900</xdr:colOff>
          <xdr:row>47</xdr:row>
          <xdr:rowOff>257175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設計性能評価の見積を希望する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61</xdr:row>
          <xdr:rowOff>76200</xdr:rowOff>
        </xdr:from>
        <xdr:to>
          <xdr:col>4</xdr:col>
          <xdr:colOff>2533650</xdr:colOff>
          <xdr:row>61</xdr:row>
          <xdr:rowOff>257175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空気環境計測または限界耐力計算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61</xdr:row>
          <xdr:rowOff>66675</xdr:rowOff>
        </xdr:from>
        <xdr:to>
          <xdr:col>6</xdr:col>
          <xdr:colOff>0</xdr:colOff>
          <xdr:row>61</xdr:row>
          <xdr:rowOff>266700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設計住宅性能評価と長期使用構造等確認の併願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62</xdr:row>
          <xdr:rowOff>57150</xdr:rowOff>
        </xdr:from>
        <xdr:to>
          <xdr:col>5</xdr:col>
          <xdr:colOff>2419350</xdr:colOff>
          <xdr:row>62</xdr:row>
          <xdr:rowOff>247650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8-1・8-2音環境に係る評価(8-3・8-4除く)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62</xdr:row>
          <xdr:rowOff>57150</xdr:rowOff>
        </xdr:from>
        <xdr:to>
          <xdr:col>4</xdr:col>
          <xdr:colOff>2105025</xdr:colOff>
          <xdr:row>62</xdr:row>
          <xdr:rowOff>257175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建設住宅性能評価の見積を希望する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47625</xdr:rowOff>
        </xdr:from>
        <xdr:to>
          <xdr:col>4</xdr:col>
          <xdr:colOff>1704975</xdr:colOff>
          <xdr:row>60</xdr:row>
          <xdr:rowOff>257175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10-1開口部の侵入防止対策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70</xdr:row>
          <xdr:rowOff>95250</xdr:rowOff>
        </xdr:from>
        <xdr:to>
          <xdr:col>4</xdr:col>
          <xdr:colOff>1866900</xdr:colOff>
          <xdr:row>70</xdr:row>
          <xdr:rowOff>295275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低炭素に係る技術審査を希望する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76200</xdr:rowOff>
        </xdr:from>
        <xdr:to>
          <xdr:col>4</xdr:col>
          <xdr:colOff>2438400</xdr:colOff>
          <xdr:row>65</xdr:row>
          <xdr:rowOff>304800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長期使用構造等確認の審査を希望する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52</xdr:row>
          <xdr:rowOff>38100</xdr:rowOff>
        </xdr:from>
        <xdr:to>
          <xdr:col>7</xdr:col>
          <xdr:colOff>2533650</xdr:colOff>
          <xdr:row>52</xdr:row>
          <xdr:rowOff>276225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2-7[共同住宅等]耐火等級(界壁及び界床)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2209800</xdr:colOff>
          <xdr:row>52</xdr:row>
          <xdr:rowOff>38100</xdr:rowOff>
        </xdr:from>
        <xdr:to>
          <xdr:col>6</xdr:col>
          <xdr:colOff>2533650</xdr:colOff>
          <xdr:row>52</xdr:row>
          <xdr:rowOff>276225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2-6耐火等級(延焼のおそれのある部分(開口部以外)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1952625</xdr:colOff>
          <xdr:row>52</xdr:row>
          <xdr:rowOff>47625</xdr:rowOff>
        </xdr:from>
        <xdr:to>
          <xdr:col>5</xdr:col>
          <xdr:colOff>1962150</xdr:colOff>
          <xdr:row>52</xdr:row>
          <xdr:rowOff>276225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2-5耐火等級(延焼のおそれのある部分(開口部)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67</xdr:row>
          <xdr:rowOff>47625</xdr:rowOff>
        </xdr:from>
        <xdr:to>
          <xdr:col>4</xdr:col>
          <xdr:colOff>1419225</xdr:colOff>
          <xdr:row>67</xdr:row>
          <xdr:rowOff>276225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BELS評価を希望する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51</xdr:row>
          <xdr:rowOff>47625</xdr:rowOff>
        </xdr:from>
        <xdr:to>
          <xdr:col>7</xdr:col>
          <xdr:colOff>1619250</xdr:colOff>
          <xdr:row>51</xdr:row>
          <xdr:rowOff>285750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2-3[共同住宅等]避難安全対策(他住戸等火災時･共用廊下)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1504950</xdr:colOff>
          <xdr:row>67</xdr:row>
          <xdr:rowOff>38100</xdr:rowOff>
        </xdr:from>
        <xdr:to>
          <xdr:col>5</xdr:col>
          <xdr:colOff>1009650</xdr:colOff>
          <xdr:row>67</xdr:row>
          <xdr:rowOff>276225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共用部の審査も希望する(共同住宅等)</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56F4-0CB3-4E81-9405-7DB2B95EC3AD}">
  <sheetPr>
    <tabColor rgb="FFFFC000"/>
    <pageSetUpPr fitToPage="1"/>
  </sheetPr>
  <dimension ref="A1:W85"/>
  <sheetViews>
    <sheetView tabSelected="1" topLeftCell="A2" zoomScale="90" zoomScaleNormal="90" workbookViewId="0">
      <selection activeCell="E8" sqref="E8"/>
    </sheetView>
  </sheetViews>
  <sheetFormatPr defaultColWidth="9.125" defaultRowHeight="12" x14ac:dyDescent="0.15"/>
  <cols>
    <col min="1" max="1" width="4.125" style="508" customWidth="1"/>
    <col min="2" max="2" width="7.375" style="508" customWidth="1"/>
    <col min="3" max="3" width="24" style="508" customWidth="1"/>
    <col min="4" max="4" width="7.375" style="508" customWidth="1"/>
    <col min="5" max="8" width="35.75" style="508" customWidth="1"/>
    <col min="9" max="9" width="1.25" style="508" customWidth="1"/>
    <col min="10" max="16384" width="9.125" style="508"/>
  </cols>
  <sheetData>
    <row r="1" spans="1:9" s="695" customFormat="1" ht="23.45" hidden="1" customHeight="1" thickBot="1" x14ac:dyDescent="0.2">
      <c r="A1" s="691" t="s">
        <v>945</v>
      </c>
      <c r="B1" s="692" t="s">
        <v>1163</v>
      </c>
      <c r="C1" s="693"/>
      <c r="D1" s="694"/>
      <c r="E1" s="704" t="s">
        <v>1164</v>
      </c>
      <c r="F1" s="705"/>
    </row>
    <row r="2" spans="1:9" ht="24" customHeight="1" thickBot="1" x14ac:dyDescent="0.2">
      <c r="A2" s="681" t="s">
        <v>1147</v>
      </c>
      <c r="B2" s="509"/>
      <c r="C2" s="509"/>
      <c r="D2" s="509"/>
    </row>
    <row r="3" spans="1:9" ht="24" customHeight="1" thickBot="1" x14ac:dyDescent="0.2">
      <c r="B3" s="635"/>
      <c r="C3" s="508" t="s">
        <v>1070</v>
      </c>
      <c r="D3" s="557"/>
      <c r="E3" s="508" t="s">
        <v>1001</v>
      </c>
    </row>
    <row r="4" spans="1:9" ht="24" customHeight="1" thickBot="1" x14ac:dyDescent="0.2">
      <c r="B4" s="698"/>
      <c r="C4" s="508" t="s">
        <v>1166</v>
      </c>
      <c r="D4" s="636"/>
      <c r="E4" s="508" t="s">
        <v>1081</v>
      </c>
    </row>
    <row r="5" spans="1:9" ht="24" customHeight="1" thickBot="1" x14ac:dyDescent="0.2">
      <c r="B5" s="558"/>
      <c r="C5" s="559" t="s">
        <v>1000</v>
      </c>
    </row>
    <row r="6" spans="1:9" ht="7.5" customHeight="1" thickBot="1" x14ac:dyDescent="0.2">
      <c r="B6" s="510"/>
      <c r="C6" s="555"/>
      <c r="D6" s="555"/>
    </row>
    <row r="7" spans="1:9" ht="24" customHeight="1" thickBot="1" x14ac:dyDescent="0.2">
      <c r="A7" s="511" t="s">
        <v>42</v>
      </c>
      <c r="B7" s="549" t="s">
        <v>1086</v>
      </c>
      <c r="C7" s="512"/>
      <c r="D7" s="512"/>
      <c r="E7" s="512"/>
      <c r="F7" s="513"/>
      <c r="G7" s="513"/>
      <c r="H7" s="513"/>
      <c r="I7" s="514"/>
    </row>
    <row r="8" spans="1:9" ht="24" customHeight="1" x14ac:dyDescent="0.15">
      <c r="A8" s="515">
        <v>1</v>
      </c>
      <c r="B8" s="516" t="s">
        <v>1071</v>
      </c>
      <c r="C8" s="517"/>
      <c r="D8" s="518"/>
      <c r="E8" s="637" t="s">
        <v>47</v>
      </c>
      <c r="F8" s="519"/>
      <c r="G8" s="520"/>
      <c r="H8" s="521"/>
      <c r="I8" s="522"/>
    </row>
    <row r="9" spans="1:9" ht="24" customHeight="1" x14ac:dyDescent="0.15">
      <c r="A9" s="523">
        <v>2</v>
      </c>
      <c r="B9" s="524" t="s">
        <v>1072</v>
      </c>
      <c r="C9" s="525"/>
      <c r="D9" s="526"/>
      <c r="E9" s="708"/>
      <c r="F9" s="709"/>
      <c r="G9" s="638" t="s">
        <v>899</v>
      </c>
      <c r="H9" s="527"/>
      <c r="I9" s="522"/>
    </row>
    <row r="10" spans="1:9" ht="24" customHeight="1" x14ac:dyDescent="0.15">
      <c r="A10" s="523">
        <v>3</v>
      </c>
      <c r="B10" s="524" t="s">
        <v>1073</v>
      </c>
      <c r="C10" s="525"/>
      <c r="D10" s="526"/>
      <c r="E10" s="710"/>
      <c r="F10" s="711"/>
      <c r="G10" s="712"/>
      <c r="H10" s="519"/>
      <c r="I10" s="522"/>
    </row>
    <row r="11" spans="1:9" ht="24" customHeight="1" x14ac:dyDescent="0.15">
      <c r="A11" s="528">
        <v>4</v>
      </c>
      <c r="B11" s="529" t="s">
        <v>1074</v>
      </c>
      <c r="C11" s="530"/>
      <c r="D11" s="531"/>
      <c r="E11" s="489" t="s">
        <v>901</v>
      </c>
      <c r="F11" s="495" t="s">
        <v>1080</v>
      </c>
      <c r="G11" s="706" t="s">
        <v>946</v>
      </c>
      <c r="H11" s="707"/>
      <c r="I11" s="532"/>
    </row>
    <row r="12" spans="1:9" ht="24" customHeight="1" x14ac:dyDescent="0.15">
      <c r="A12" s="533"/>
      <c r="B12" s="534"/>
      <c r="C12" s="535"/>
      <c r="D12" s="536"/>
      <c r="E12" s="639" t="s">
        <v>196</v>
      </c>
      <c r="F12" s="640"/>
      <c r="G12" s="719"/>
      <c r="H12" s="719"/>
      <c r="I12" s="522"/>
    </row>
    <row r="13" spans="1:9" ht="24" customHeight="1" x14ac:dyDescent="0.15">
      <c r="A13" s="528">
        <v>5</v>
      </c>
      <c r="B13" s="529" t="s">
        <v>1075</v>
      </c>
      <c r="C13" s="530"/>
      <c r="D13" s="531"/>
      <c r="E13" s="490" t="s">
        <v>954</v>
      </c>
      <c r="F13" s="490" t="s">
        <v>947</v>
      </c>
      <c r="G13" s="491" t="s">
        <v>905</v>
      </c>
      <c r="H13" s="491" t="s">
        <v>953</v>
      </c>
      <c r="I13" s="522"/>
    </row>
    <row r="14" spans="1:9" ht="24" customHeight="1" x14ac:dyDescent="0.15">
      <c r="A14" s="515"/>
      <c r="B14" s="534"/>
      <c r="C14" s="535"/>
      <c r="D14" s="536"/>
      <c r="E14" s="641" t="s">
        <v>912</v>
      </c>
      <c r="F14" s="641" t="s">
        <v>115</v>
      </c>
      <c r="G14" s="688">
        <v>2</v>
      </c>
      <c r="H14" s="689"/>
      <c r="I14" s="522"/>
    </row>
    <row r="15" spans="1:9" ht="24" customHeight="1" x14ac:dyDescent="0.15">
      <c r="A15" s="528">
        <v>6</v>
      </c>
      <c r="B15" s="529" t="s">
        <v>1076</v>
      </c>
      <c r="C15" s="530"/>
      <c r="D15" s="531"/>
      <c r="E15" s="491" t="s">
        <v>892</v>
      </c>
      <c r="F15" s="492" t="s">
        <v>1064</v>
      </c>
      <c r="G15" s="537"/>
      <c r="H15" s="538"/>
      <c r="I15" s="522"/>
    </row>
    <row r="16" spans="1:9" ht="24" customHeight="1" thickBot="1" x14ac:dyDescent="0.2">
      <c r="A16" s="515"/>
      <c r="B16" s="534"/>
      <c r="C16" s="625" t="s">
        <v>1077</v>
      </c>
      <c r="D16" s="593"/>
      <c r="E16" s="658" t="s">
        <v>807</v>
      </c>
      <c r="F16" s="687"/>
      <c r="G16" s="521"/>
      <c r="H16" s="538"/>
      <c r="I16" s="522"/>
    </row>
    <row r="17" spans="1:9" ht="30" customHeight="1" thickBot="1" x14ac:dyDescent="0.2">
      <c r="A17" s="659" t="s">
        <v>950</v>
      </c>
      <c r="B17" s="524" t="s">
        <v>951</v>
      </c>
      <c r="C17" s="525"/>
      <c r="D17" s="526"/>
      <c r="E17" s="715"/>
      <c r="F17" s="716"/>
      <c r="G17" s="717"/>
      <c r="H17" s="718"/>
      <c r="I17" s="507"/>
    </row>
    <row r="18" spans="1:9" ht="24" customHeight="1" thickBot="1" x14ac:dyDescent="0.2">
      <c r="A18" s="539" t="s">
        <v>894</v>
      </c>
      <c r="B18" s="540"/>
      <c r="C18" s="540"/>
      <c r="D18" s="540"/>
      <c r="E18" s="512"/>
      <c r="F18" s="513"/>
      <c r="G18" s="513"/>
      <c r="H18" s="513"/>
      <c r="I18" s="514"/>
    </row>
    <row r="19" spans="1:9" ht="24" customHeight="1" x14ac:dyDescent="0.15">
      <c r="A19" s="528">
        <v>1</v>
      </c>
      <c r="B19" s="529" t="s">
        <v>1078</v>
      </c>
      <c r="C19" s="530"/>
      <c r="D19" s="531"/>
      <c r="E19" s="490" t="s">
        <v>902</v>
      </c>
      <c r="F19" s="490" t="s">
        <v>903</v>
      </c>
      <c r="G19" s="490" t="s">
        <v>904</v>
      </c>
      <c r="H19" s="538"/>
      <c r="I19" s="522"/>
    </row>
    <row r="20" spans="1:9" ht="24" customHeight="1" x14ac:dyDescent="0.15">
      <c r="A20" s="541"/>
      <c r="B20" s="534"/>
      <c r="C20" s="625"/>
      <c r="D20" s="657" t="s">
        <v>1100</v>
      </c>
      <c r="E20" s="642"/>
      <c r="F20" s="642"/>
      <c r="G20" s="643"/>
      <c r="H20" s="521"/>
      <c r="I20" s="522"/>
    </row>
    <row r="21" spans="1:9" ht="24" customHeight="1" thickBot="1" x14ac:dyDescent="0.2">
      <c r="A21" s="528">
        <v>2</v>
      </c>
      <c r="B21" s="529" t="s">
        <v>1149</v>
      </c>
      <c r="C21" s="530"/>
      <c r="D21" s="531"/>
      <c r="E21" s="542" t="s">
        <v>955</v>
      </c>
      <c r="F21" s="543"/>
      <c r="G21" s="685" t="s">
        <v>1171</v>
      </c>
      <c r="H21" s="521"/>
      <c r="I21" s="522"/>
    </row>
    <row r="22" spans="1:9" ht="24" customHeight="1" thickBot="1" x14ac:dyDescent="0.2">
      <c r="A22" s="515"/>
      <c r="B22" s="534" t="s">
        <v>1150</v>
      </c>
      <c r="C22" s="683"/>
      <c r="D22" s="684"/>
      <c r="E22" s="723" t="s">
        <v>1177</v>
      </c>
      <c r="F22" s="724"/>
      <c r="G22" s="686"/>
      <c r="H22" s="521"/>
      <c r="I22" s="522"/>
    </row>
    <row r="23" spans="1:9" ht="24" customHeight="1" x14ac:dyDescent="0.15">
      <c r="A23" s="528">
        <v>3</v>
      </c>
      <c r="B23" s="529" t="s">
        <v>1079</v>
      </c>
      <c r="C23" s="530"/>
      <c r="D23" s="531"/>
      <c r="E23" s="542" t="s">
        <v>1003</v>
      </c>
      <c r="F23" s="543"/>
      <c r="G23" s="542" t="s">
        <v>1158</v>
      </c>
      <c r="H23" s="543"/>
      <c r="I23" s="522"/>
    </row>
    <row r="24" spans="1:9" ht="24" customHeight="1" x14ac:dyDescent="0.15">
      <c r="A24" s="533"/>
      <c r="B24" s="545"/>
      <c r="C24" s="503"/>
      <c r="D24" s="546"/>
      <c r="E24" s="713"/>
      <c r="F24" s="714"/>
      <c r="G24" s="713"/>
      <c r="H24" s="714"/>
      <c r="I24" s="522"/>
    </row>
    <row r="25" spans="1:9" ht="24" customHeight="1" x14ac:dyDescent="0.15">
      <c r="A25" s="533"/>
      <c r="B25" s="545"/>
      <c r="C25" s="503"/>
      <c r="D25" s="546"/>
      <c r="E25" s="547" t="s">
        <v>1004</v>
      </c>
      <c r="F25" s="544"/>
      <c r="G25" s="547" t="s">
        <v>1159</v>
      </c>
      <c r="H25" s="544"/>
      <c r="I25" s="522"/>
    </row>
    <row r="26" spans="1:9" ht="24" customHeight="1" x14ac:dyDescent="0.15">
      <c r="A26" s="533"/>
      <c r="B26" s="545"/>
      <c r="C26" s="503"/>
      <c r="D26" s="546"/>
      <c r="E26" s="713"/>
      <c r="F26" s="714"/>
      <c r="G26" s="713"/>
      <c r="H26" s="714"/>
      <c r="I26" s="522"/>
    </row>
    <row r="27" spans="1:9" ht="24" customHeight="1" x14ac:dyDescent="0.15">
      <c r="A27" s="533"/>
      <c r="B27" s="529" t="s">
        <v>1161</v>
      </c>
      <c r="C27" s="530"/>
      <c r="D27" s="531"/>
      <c r="E27" s="696" t="s">
        <v>1186</v>
      </c>
      <c r="F27" s="544"/>
      <c r="G27" s="697" t="s">
        <v>1157</v>
      </c>
      <c r="H27" s="544"/>
      <c r="I27" s="522"/>
    </row>
    <row r="28" spans="1:9" ht="24" customHeight="1" x14ac:dyDescent="0.15">
      <c r="A28" s="533"/>
      <c r="B28" s="545"/>
      <c r="C28" s="503"/>
      <c r="D28" s="546"/>
      <c r="E28" s="703" t="s">
        <v>1187</v>
      </c>
      <c r="F28" s="690"/>
      <c r="G28" s="699" t="s">
        <v>1165</v>
      </c>
      <c r="H28" s="690"/>
      <c r="I28" s="522"/>
    </row>
    <row r="29" spans="1:9" ht="24" customHeight="1" x14ac:dyDescent="0.15">
      <c r="A29" s="533"/>
      <c r="B29" s="545"/>
      <c r="C29" s="503"/>
      <c r="D29" s="546"/>
      <c r="E29" s="697" t="s">
        <v>1160</v>
      </c>
      <c r="F29" s="544"/>
      <c r="G29" s="697" t="s">
        <v>1156</v>
      </c>
      <c r="H29" s="544"/>
      <c r="I29" s="522"/>
    </row>
    <row r="30" spans="1:9" ht="24" customHeight="1" x14ac:dyDescent="0.15">
      <c r="A30" s="533"/>
      <c r="B30" s="534"/>
      <c r="C30" s="535"/>
      <c r="D30" s="536"/>
      <c r="E30" s="699" t="s">
        <v>1165</v>
      </c>
      <c r="F30" s="690"/>
      <c r="G30" s="699" t="s">
        <v>1165</v>
      </c>
      <c r="H30" s="690"/>
      <c r="I30" s="522"/>
    </row>
    <row r="31" spans="1:9" ht="30" customHeight="1" thickBot="1" x14ac:dyDescent="0.2">
      <c r="A31" s="659" t="s">
        <v>950</v>
      </c>
      <c r="B31" s="524" t="s">
        <v>951</v>
      </c>
      <c r="C31" s="525"/>
      <c r="D31" s="526"/>
      <c r="E31" s="720"/>
      <c r="F31" s="721"/>
      <c r="G31" s="721"/>
      <c r="H31" s="722"/>
      <c r="I31" s="507"/>
    </row>
    <row r="32" spans="1:9" ht="24" customHeight="1" thickBot="1" x14ac:dyDescent="0.2">
      <c r="A32" s="548" t="s">
        <v>1104</v>
      </c>
      <c r="B32" s="549"/>
      <c r="C32" s="549"/>
      <c r="D32" s="540"/>
      <c r="E32" s="512"/>
      <c r="F32" s="513"/>
      <c r="G32" s="513"/>
      <c r="H32" s="513"/>
      <c r="I32" s="514"/>
    </row>
    <row r="33" spans="1:9" ht="24" customHeight="1" x14ac:dyDescent="0.15">
      <c r="A33" s="528">
        <v>1</v>
      </c>
      <c r="B33" s="529" t="s">
        <v>1066</v>
      </c>
      <c r="C33" s="530"/>
      <c r="D33" s="531"/>
      <c r="E33" s="547" t="s">
        <v>1005</v>
      </c>
      <c r="F33" s="490" t="s">
        <v>964</v>
      </c>
      <c r="G33" s="547" t="s">
        <v>948</v>
      </c>
      <c r="H33" s="490" t="s">
        <v>949</v>
      </c>
      <c r="I33" s="522"/>
    </row>
    <row r="34" spans="1:9" ht="24" customHeight="1" x14ac:dyDescent="0.15">
      <c r="A34" s="533"/>
      <c r="B34" s="560" t="s">
        <v>1105</v>
      </c>
      <c r="C34" s="561"/>
      <c r="D34" s="562"/>
      <c r="E34" s="655" t="str">
        <f>IF(E16="","",E16)</f>
        <v>一戸建ての住宅</v>
      </c>
      <c r="F34" s="602" t="str">
        <f>IF(E34="","",(_xlfn.XLOOKUP(E34,基本入力データシート!$O$3:$O$75,基本入力データシート!$P$3:$P$75)))&amp;(_xlfn.XLOOKUP(E34,基本入力データシート!$O$3:$O$75,基本入力データシート!$Q$3:$Q$75))&amp;(_xlfn.XLOOKUP(E34,基本入力データシート!$O$3:$O$75,基本入力データシート!$R$3:$R$75))</f>
        <v>住宅系　※住宅基準による</v>
      </c>
      <c r="G34" s="656"/>
      <c r="H34" s="648"/>
      <c r="I34" s="522"/>
    </row>
    <row r="35" spans="1:9" ht="24" customHeight="1" x14ac:dyDescent="0.15">
      <c r="A35" s="533"/>
      <c r="B35" s="560" t="s">
        <v>1172</v>
      </c>
      <c r="C35" s="561"/>
      <c r="D35" s="562"/>
      <c r="E35" s="645"/>
      <c r="F35" s="602" t="str">
        <f>IF(E35="","",(_xlfn.XLOOKUP(E35,基本入力データシート!$O$3:$O$75,基本入力データシート!$P$3:$P$75)))&amp;(_xlfn.XLOOKUP(E35,基本入力データシート!$O$3:$O$75,基本入力データシート!$Q$3:$Q$75))&amp;(_xlfn.XLOOKUP(E35,基本入力データシート!$O$3:$O$75,基本入力データシート!$R$3:$R$75))</f>
        <v/>
      </c>
      <c r="G35" s="645"/>
      <c r="H35" s="648"/>
      <c r="I35" s="522"/>
    </row>
    <row r="36" spans="1:9" ht="24" customHeight="1" x14ac:dyDescent="0.15">
      <c r="A36" s="533"/>
      <c r="B36" s="560" t="s">
        <v>1173</v>
      </c>
      <c r="C36" s="561"/>
      <c r="D36" s="562"/>
      <c r="E36" s="645"/>
      <c r="F36" s="602" t="str">
        <f>IF(E36="","",(_xlfn.XLOOKUP(E36,基本入力データシート!$O$3:$O$75,基本入力データシート!$P$3:$P$75)))&amp;(_xlfn.XLOOKUP(E36,基本入力データシート!$O$3:$O$75,基本入力データシート!$Q$3:$Q$75))&amp;(_xlfn.XLOOKUP(E36,基本入力データシート!$O$3:$O$75,基本入力データシート!$R$3:$R$75))</f>
        <v/>
      </c>
      <c r="G36" s="645"/>
      <c r="H36" s="648"/>
      <c r="I36" s="522"/>
    </row>
    <row r="37" spans="1:9" ht="24" customHeight="1" x14ac:dyDescent="0.15">
      <c r="A37" s="533"/>
      <c r="B37" s="560" t="s">
        <v>1174</v>
      </c>
      <c r="C37" s="535"/>
      <c r="D37" s="536"/>
      <c r="E37" s="646"/>
      <c r="F37" s="603" t="str">
        <f>IF(E37="","",(_xlfn.XLOOKUP(E37,基本入力データシート!$O$3:$O$75,基本入力データシート!$P$3:$P$75)))&amp;(_xlfn.XLOOKUP(E37,基本入力データシート!$O$3:$O$75,基本入力データシート!$Q$3:$Q$75))&amp;(_xlfn.XLOOKUP(E37,基本入力データシート!$O$3:$O$75,基本入力データシート!$R$3:$R$75))</f>
        <v/>
      </c>
      <c r="G37" s="647"/>
      <c r="H37" s="649"/>
      <c r="I37" s="522"/>
    </row>
    <row r="38" spans="1:9" ht="24" customHeight="1" x14ac:dyDescent="0.15">
      <c r="A38" s="528">
        <v>2</v>
      </c>
      <c r="B38" s="529" t="s">
        <v>1007</v>
      </c>
      <c r="C38" s="490" t="s">
        <v>40</v>
      </c>
      <c r="D38" s="490" t="s">
        <v>1006</v>
      </c>
      <c r="E38" s="547" t="s">
        <v>1005</v>
      </c>
      <c r="F38" s="490" t="s">
        <v>964</v>
      </c>
      <c r="G38" s="547" t="s">
        <v>948</v>
      </c>
      <c r="H38" s="490" t="s">
        <v>949</v>
      </c>
      <c r="I38" s="522"/>
    </row>
    <row r="39" spans="1:9" ht="24" customHeight="1" x14ac:dyDescent="0.15">
      <c r="A39" s="515"/>
      <c r="B39" s="565"/>
      <c r="C39" s="653"/>
      <c r="D39" s="702"/>
      <c r="E39" s="644"/>
      <c r="F39" s="654" t="str">
        <f>IF(E39="","",(_xlfn.XLOOKUP(E39,基本入力データシート!$O$3:$O$75,基本入力データシート!$P$3:$P$75)))&amp;(_xlfn.XLOOKUP(E39,基本入力データシート!$O$3:$O$75,基本入力データシート!$Q$3:$Q$75))&amp;(_xlfn.XLOOKUP(E39,基本入力データシート!$O$3:$O$75,基本入力データシート!$R$3:$R$75))</f>
        <v/>
      </c>
      <c r="G39" s="644"/>
      <c r="H39" s="643"/>
      <c r="I39" s="522"/>
    </row>
    <row r="40" spans="1:9" ht="24" customHeight="1" x14ac:dyDescent="0.15">
      <c r="A40" s="528">
        <v>3</v>
      </c>
      <c r="B40" s="529" t="s">
        <v>1101</v>
      </c>
      <c r="C40" s="490" t="s">
        <v>40</v>
      </c>
      <c r="D40" s="490" t="s">
        <v>1006</v>
      </c>
      <c r="E40" s="547" t="s">
        <v>1005</v>
      </c>
      <c r="F40" s="490" t="s">
        <v>964</v>
      </c>
      <c r="G40" s="547" t="s">
        <v>948</v>
      </c>
      <c r="H40" s="490" t="s">
        <v>949</v>
      </c>
      <c r="I40" s="522"/>
    </row>
    <row r="41" spans="1:9" ht="24" customHeight="1" x14ac:dyDescent="0.15">
      <c r="A41" s="515"/>
      <c r="B41" s="565"/>
      <c r="C41" s="653"/>
      <c r="D41" s="702"/>
      <c r="E41" s="644"/>
      <c r="F41" s="654" t="str">
        <f>IF(E41="","",(_xlfn.XLOOKUP(E41,基本入力データシート!$O$3:$O$75,基本入力データシート!$P$3:$P$75)))&amp;(_xlfn.XLOOKUP(E41,基本入力データシート!$O$3:$O$75,基本入力データシート!$Q$3:$Q$75))&amp;(_xlfn.XLOOKUP(E41,基本入力データシート!$O$3:$O$75,基本入力データシート!$R$3:$R$75))</f>
        <v/>
      </c>
      <c r="G41" s="644"/>
      <c r="H41" s="643"/>
      <c r="I41" s="522"/>
    </row>
    <row r="42" spans="1:9" ht="30" customHeight="1" thickBot="1" x14ac:dyDescent="0.2">
      <c r="A42" s="659" t="s">
        <v>950</v>
      </c>
      <c r="B42" s="631" t="s">
        <v>1067</v>
      </c>
      <c r="C42" s="629"/>
      <c r="D42" s="630"/>
      <c r="E42" s="720"/>
      <c r="F42" s="721"/>
      <c r="G42" s="721"/>
      <c r="H42" s="722"/>
      <c r="I42" s="522"/>
    </row>
    <row r="43" spans="1:9" ht="24" customHeight="1" thickBot="1" x14ac:dyDescent="0.2">
      <c r="A43" s="549" t="s">
        <v>1082</v>
      </c>
      <c r="B43" s="549"/>
      <c r="C43" s="549"/>
      <c r="D43" s="540"/>
      <c r="E43" s="512"/>
      <c r="F43" s="513"/>
      <c r="G43" s="513"/>
      <c r="H43" s="513"/>
      <c r="I43" s="514"/>
    </row>
    <row r="44" spans="1:9" ht="24" customHeight="1" x14ac:dyDescent="0.15">
      <c r="A44" s="533">
        <v>1</v>
      </c>
      <c r="B44" s="529" t="s">
        <v>908</v>
      </c>
      <c r="C44" s="530"/>
      <c r="D44" s="531"/>
      <c r="E44" s="551" t="s">
        <v>909</v>
      </c>
      <c r="F44" s="552" t="s">
        <v>907</v>
      </c>
      <c r="G44" s="553"/>
      <c r="H44" s="521"/>
      <c r="I44" s="522"/>
    </row>
    <row r="45" spans="1:9" ht="24" customHeight="1" x14ac:dyDescent="0.15">
      <c r="A45" s="533"/>
      <c r="B45" s="534" t="s">
        <v>906</v>
      </c>
      <c r="C45" s="535"/>
      <c r="D45" s="536"/>
      <c r="E45" s="644"/>
      <c r="F45" s="713"/>
      <c r="G45" s="732"/>
      <c r="H45" s="521"/>
      <c r="I45" s="522"/>
    </row>
    <row r="46" spans="1:9" ht="30" customHeight="1" thickBot="1" x14ac:dyDescent="0.2">
      <c r="A46" s="660" t="s">
        <v>950</v>
      </c>
      <c r="B46" s="524" t="s">
        <v>952</v>
      </c>
      <c r="C46" s="525"/>
      <c r="D46" s="526"/>
      <c r="E46" s="720"/>
      <c r="F46" s="721"/>
      <c r="G46" s="721"/>
      <c r="H46" s="722"/>
      <c r="I46" s="488"/>
    </row>
    <row r="47" spans="1:9" ht="24" customHeight="1" thickBot="1" x14ac:dyDescent="0.2">
      <c r="A47" s="548" t="s">
        <v>1083</v>
      </c>
      <c r="B47" s="549"/>
      <c r="C47" s="549"/>
      <c r="D47" s="540"/>
      <c r="E47" s="512"/>
      <c r="F47" s="513"/>
      <c r="G47" s="513"/>
      <c r="H47" s="513"/>
      <c r="I47" s="514"/>
    </row>
    <row r="48" spans="1:9" ht="24" customHeight="1" x14ac:dyDescent="0.15">
      <c r="A48" s="528">
        <v>1</v>
      </c>
      <c r="B48" s="529" t="s">
        <v>1052</v>
      </c>
      <c r="C48" s="530"/>
      <c r="D48" s="531"/>
      <c r="E48" s="550"/>
      <c r="F48" s="521"/>
      <c r="G48" s="521"/>
      <c r="H48" s="521"/>
      <c r="I48" s="522"/>
    </row>
    <row r="49" spans="1:23" ht="24" customHeight="1" x14ac:dyDescent="0.15">
      <c r="A49" s="533"/>
      <c r="B49" s="581" t="s">
        <v>1062</v>
      </c>
      <c r="C49" s="574"/>
      <c r="D49" s="574"/>
      <c r="E49" s="583"/>
      <c r="F49" s="584"/>
      <c r="G49" s="585"/>
      <c r="H49" s="626"/>
      <c r="I49" s="522"/>
      <c r="K49" s="563"/>
      <c r="L49" s="564"/>
      <c r="M49" s="563"/>
      <c r="N49" s="563"/>
      <c r="O49" s="563"/>
      <c r="P49" s="563"/>
      <c r="Q49" s="563"/>
      <c r="R49" s="563"/>
      <c r="S49" s="563"/>
      <c r="T49" s="563"/>
      <c r="U49" s="563"/>
      <c r="V49" s="563"/>
      <c r="W49" s="563"/>
    </row>
    <row r="50" spans="1:23" ht="24" customHeight="1" x14ac:dyDescent="0.15">
      <c r="A50" s="533"/>
      <c r="B50" s="572"/>
      <c r="C50" s="586" t="s">
        <v>1042</v>
      </c>
      <c r="D50" s="587"/>
      <c r="E50" s="588"/>
      <c r="F50" s="589"/>
      <c r="G50" s="589"/>
      <c r="H50" s="627"/>
      <c r="I50" s="522"/>
      <c r="K50" s="563"/>
      <c r="L50" s="564"/>
      <c r="M50" s="477"/>
      <c r="N50" s="563"/>
      <c r="O50" s="563"/>
      <c r="P50" s="563"/>
      <c r="Q50" s="563"/>
      <c r="R50" s="563"/>
      <c r="S50" s="563"/>
      <c r="T50" s="477"/>
      <c r="U50" s="563"/>
      <c r="V50" s="563"/>
      <c r="W50" s="563"/>
    </row>
    <row r="51" spans="1:23" ht="24" customHeight="1" x14ac:dyDescent="0.15">
      <c r="A51" s="533"/>
      <c r="B51" s="572"/>
      <c r="C51" s="590"/>
      <c r="D51" s="587"/>
      <c r="E51" s="591"/>
      <c r="F51" s="521"/>
      <c r="G51" s="521"/>
      <c r="H51" s="521"/>
      <c r="I51" s="522"/>
      <c r="K51" s="563"/>
      <c r="L51" s="564"/>
      <c r="M51" s="477"/>
      <c r="N51" s="563"/>
      <c r="O51" s="477"/>
      <c r="P51" s="563"/>
      <c r="Q51" s="477"/>
      <c r="R51" s="563"/>
      <c r="S51" s="563"/>
      <c r="T51" s="477"/>
      <c r="U51" s="563"/>
      <c r="V51" s="563"/>
      <c r="W51" s="563"/>
    </row>
    <row r="52" spans="1:23" ht="24" customHeight="1" x14ac:dyDescent="0.15">
      <c r="A52" s="533"/>
      <c r="B52" s="572"/>
      <c r="C52" s="604" t="s">
        <v>1043</v>
      </c>
      <c r="D52" s="605"/>
      <c r="E52" s="606"/>
      <c r="F52" s="592"/>
      <c r="G52" s="592"/>
      <c r="H52" s="595"/>
      <c r="I52" s="522"/>
      <c r="K52" s="563"/>
      <c r="L52" s="564"/>
      <c r="M52" s="477"/>
      <c r="N52" s="563"/>
      <c r="O52" s="477"/>
      <c r="P52" s="477"/>
      <c r="Q52" s="477"/>
      <c r="R52" s="563"/>
      <c r="S52" s="477"/>
      <c r="T52" s="477"/>
      <c r="U52" s="563"/>
      <c r="V52" s="563"/>
      <c r="W52" s="563"/>
    </row>
    <row r="53" spans="1:23" ht="24" customHeight="1" x14ac:dyDescent="0.15">
      <c r="A53" s="533"/>
      <c r="B53" s="572"/>
      <c r="C53" s="617"/>
      <c r="D53" s="618"/>
      <c r="E53" s="620"/>
      <c r="F53" s="594"/>
      <c r="G53" s="594"/>
      <c r="H53" s="596"/>
      <c r="I53" s="522"/>
      <c r="K53" s="563"/>
      <c r="L53" s="564"/>
      <c r="M53" s="477"/>
      <c r="N53" s="477"/>
      <c r="O53" s="477"/>
      <c r="P53" s="477"/>
      <c r="Q53" s="477"/>
      <c r="R53" s="477"/>
      <c r="S53" s="477"/>
      <c r="T53" s="477"/>
      <c r="U53" s="563"/>
      <c r="V53" s="563"/>
      <c r="W53" s="563"/>
    </row>
    <row r="54" spans="1:23" ht="24" customHeight="1" x14ac:dyDescent="0.15">
      <c r="A54" s="533"/>
      <c r="B54" s="572"/>
      <c r="C54" s="617" t="s">
        <v>1044</v>
      </c>
      <c r="D54" s="618"/>
      <c r="E54" s="619"/>
      <c r="F54" s="622"/>
      <c r="G54" s="624"/>
      <c r="H54" s="624"/>
      <c r="I54" s="522"/>
      <c r="K54" s="563"/>
      <c r="L54" s="564"/>
      <c r="M54" s="477"/>
      <c r="N54" s="477"/>
      <c r="O54" s="477"/>
      <c r="P54" s="477"/>
      <c r="Q54" s="563"/>
      <c r="R54" s="477"/>
      <c r="S54" s="477"/>
      <c r="T54" s="477"/>
      <c r="U54" s="563"/>
      <c r="V54" s="563"/>
      <c r="W54" s="563"/>
    </row>
    <row r="55" spans="1:23" ht="24" customHeight="1" x14ac:dyDescent="0.15">
      <c r="A55" s="533"/>
      <c r="B55" s="572"/>
      <c r="C55" s="609" t="s">
        <v>1045</v>
      </c>
      <c r="D55" s="610"/>
      <c r="E55" s="611"/>
      <c r="F55" s="620"/>
      <c r="G55" s="620"/>
      <c r="H55" s="628"/>
      <c r="I55" s="522"/>
      <c r="K55" s="563"/>
      <c r="L55" s="564"/>
      <c r="M55" s="477"/>
      <c r="N55" s="477"/>
      <c r="O55" s="477"/>
      <c r="P55" s="477"/>
      <c r="Q55" s="563"/>
      <c r="R55" s="477"/>
      <c r="S55" s="477"/>
      <c r="T55" s="477"/>
      <c r="U55" s="563"/>
      <c r="V55" s="563"/>
      <c r="W55" s="563"/>
    </row>
    <row r="56" spans="1:23" ht="24" customHeight="1" x14ac:dyDescent="0.15">
      <c r="A56" s="533"/>
      <c r="B56" s="572"/>
      <c r="C56" s="609" t="s">
        <v>1046</v>
      </c>
      <c r="D56" s="610"/>
      <c r="E56" s="612"/>
      <c r="F56" s="611"/>
      <c r="G56" s="611"/>
      <c r="H56" s="613"/>
      <c r="I56" s="522"/>
      <c r="K56" s="563"/>
      <c r="L56" s="564"/>
      <c r="M56" s="477"/>
      <c r="N56" s="477"/>
      <c r="O56" s="477"/>
      <c r="P56" s="477"/>
      <c r="Q56" s="563"/>
      <c r="R56" s="477"/>
      <c r="S56" s="477"/>
      <c r="T56" s="477"/>
      <c r="U56" s="563"/>
      <c r="V56" s="563"/>
      <c r="W56" s="563"/>
    </row>
    <row r="57" spans="1:23" ht="24" customHeight="1" x14ac:dyDescent="0.15">
      <c r="A57" s="533"/>
      <c r="B57" s="572"/>
      <c r="C57" s="609" t="s">
        <v>1047</v>
      </c>
      <c r="D57" s="610"/>
      <c r="E57" s="611"/>
      <c r="F57" s="611"/>
      <c r="G57" s="651" t="s">
        <v>1098</v>
      </c>
      <c r="H57" s="616"/>
      <c r="I57" s="522"/>
      <c r="K57" s="563"/>
      <c r="L57" s="564"/>
      <c r="M57" s="477"/>
      <c r="N57" s="477"/>
      <c r="O57" s="477"/>
      <c r="P57" s="477"/>
      <c r="Q57" s="563"/>
      <c r="R57" s="477"/>
      <c r="S57" s="477"/>
      <c r="T57" s="477"/>
      <c r="U57" s="563"/>
      <c r="V57" s="563"/>
      <c r="W57" s="563"/>
    </row>
    <row r="58" spans="1:23" ht="24" customHeight="1" x14ac:dyDescent="0.15">
      <c r="A58" s="533"/>
      <c r="B58" s="572"/>
      <c r="C58" s="609" t="s">
        <v>1048</v>
      </c>
      <c r="D58" s="610"/>
      <c r="E58" s="611"/>
      <c r="F58" s="613"/>
      <c r="G58" s="622"/>
      <c r="H58" s="624"/>
      <c r="I58" s="522"/>
      <c r="K58" s="563"/>
      <c r="L58" s="564"/>
      <c r="M58" s="477"/>
      <c r="N58" s="477"/>
      <c r="O58" s="477"/>
      <c r="P58" s="477"/>
      <c r="Q58" s="563"/>
      <c r="R58" s="477"/>
      <c r="S58" s="477"/>
      <c r="T58" s="477"/>
      <c r="U58" s="563"/>
      <c r="V58" s="563"/>
      <c r="W58" s="563"/>
    </row>
    <row r="59" spans="1:23" ht="24" customHeight="1" x14ac:dyDescent="0.15">
      <c r="A59" s="533"/>
      <c r="B59" s="572"/>
      <c r="C59" s="609" t="s">
        <v>1065</v>
      </c>
      <c r="D59" s="610"/>
      <c r="E59" s="611"/>
      <c r="F59" s="611"/>
      <c r="G59" s="620"/>
      <c r="H59" s="595"/>
      <c r="I59" s="522"/>
      <c r="K59" s="563"/>
      <c r="L59" s="563"/>
      <c r="M59" s="563"/>
      <c r="N59" s="563"/>
      <c r="O59" s="563"/>
      <c r="P59" s="477"/>
      <c r="Q59" s="563"/>
      <c r="R59" s="563"/>
      <c r="S59" s="563"/>
      <c r="T59" s="563"/>
      <c r="U59" s="563"/>
      <c r="V59" s="563"/>
      <c r="W59" s="563"/>
    </row>
    <row r="60" spans="1:23" ht="24" customHeight="1" x14ac:dyDescent="0.15">
      <c r="A60" s="533"/>
      <c r="B60" s="545"/>
      <c r="C60" s="609" t="s">
        <v>1049</v>
      </c>
      <c r="D60" s="610"/>
      <c r="E60" s="611"/>
      <c r="F60" s="606"/>
      <c r="G60" s="621"/>
      <c r="H60" s="634"/>
      <c r="I60" s="522"/>
      <c r="K60" s="563"/>
      <c r="L60" s="563"/>
      <c r="M60" s="563"/>
      <c r="N60" s="563"/>
      <c r="O60" s="563"/>
      <c r="P60" s="477"/>
      <c r="Q60" s="563"/>
      <c r="R60" s="563"/>
      <c r="S60" s="563"/>
      <c r="T60" s="563"/>
      <c r="U60" s="563"/>
      <c r="V60" s="563"/>
      <c r="W60" s="563"/>
    </row>
    <row r="61" spans="1:23" ht="24" customHeight="1" x14ac:dyDescent="0.15">
      <c r="A61" s="533"/>
      <c r="B61" s="573"/>
      <c r="C61" s="614" t="s">
        <v>1050</v>
      </c>
      <c r="D61" s="615"/>
      <c r="E61" s="616"/>
      <c r="F61" s="622"/>
      <c r="G61" s="623"/>
      <c r="H61" s="521"/>
      <c r="I61" s="522"/>
      <c r="K61" s="563"/>
      <c r="L61" s="564"/>
      <c r="M61" s="477"/>
      <c r="N61" s="477"/>
      <c r="O61" s="477"/>
      <c r="P61" s="477"/>
      <c r="Q61" s="563"/>
      <c r="R61" s="477"/>
      <c r="S61" s="477"/>
      <c r="T61" s="477"/>
      <c r="U61" s="563"/>
      <c r="V61" s="563"/>
      <c r="W61" s="563"/>
    </row>
    <row r="62" spans="1:23" ht="24" customHeight="1" thickBot="1" x14ac:dyDescent="0.2">
      <c r="A62" s="533"/>
      <c r="B62" s="582" t="s">
        <v>1063</v>
      </c>
      <c r="C62" s="607"/>
      <c r="D62" s="587"/>
      <c r="E62" s="608"/>
      <c r="F62" s="608"/>
      <c r="G62" s="521"/>
      <c r="H62" s="521"/>
      <c r="I62" s="522"/>
      <c r="K62" s="563"/>
      <c r="L62" s="563"/>
      <c r="M62" s="563"/>
      <c r="N62" s="563"/>
      <c r="O62" s="563"/>
      <c r="P62" s="477"/>
      <c r="Q62" s="563"/>
      <c r="R62" s="563"/>
      <c r="S62" s="563"/>
      <c r="T62" s="563"/>
      <c r="U62" s="563"/>
      <c r="V62" s="563"/>
      <c r="W62" s="563"/>
    </row>
    <row r="63" spans="1:23" ht="24" customHeight="1" thickBot="1" x14ac:dyDescent="0.2">
      <c r="A63" s="576">
        <v>2</v>
      </c>
      <c r="B63" s="577" t="s">
        <v>1051</v>
      </c>
      <c r="C63" s="599"/>
      <c r="D63" s="600"/>
      <c r="E63" s="580"/>
      <c r="F63" s="601"/>
      <c r="G63" s="521"/>
      <c r="H63" s="521"/>
      <c r="I63" s="522"/>
    </row>
    <row r="64" spans="1:23" ht="30" customHeight="1" thickBot="1" x14ac:dyDescent="0.2">
      <c r="A64" s="661" t="s">
        <v>950</v>
      </c>
      <c r="B64" s="534" t="s">
        <v>951</v>
      </c>
      <c r="C64" s="535"/>
      <c r="D64" s="536"/>
      <c r="E64" s="715"/>
      <c r="F64" s="716"/>
      <c r="G64" s="717"/>
      <c r="H64" s="718"/>
      <c r="I64" s="507"/>
    </row>
    <row r="65" spans="1:9" ht="24" customHeight="1" thickBot="1" x14ac:dyDescent="0.2">
      <c r="A65" s="548" t="s">
        <v>1148</v>
      </c>
      <c r="B65" s="549"/>
      <c r="C65" s="549"/>
      <c r="D65" s="540"/>
      <c r="E65" s="513"/>
      <c r="F65" s="513"/>
      <c r="G65" s="513"/>
      <c r="H65" s="513"/>
      <c r="I65" s="514"/>
    </row>
    <row r="66" spans="1:9" ht="30" customHeight="1" thickBot="1" x14ac:dyDescent="0.2">
      <c r="A66" s="533">
        <v>1</v>
      </c>
      <c r="B66" s="529" t="s">
        <v>910</v>
      </c>
      <c r="C66" s="530"/>
      <c r="D66" s="531"/>
      <c r="E66" s="554"/>
      <c r="F66" s="730"/>
      <c r="G66" s="731"/>
      <c r="H66" s="731"/>
      <c r="I66" s="522"/>
    </row>
    <row r="67" spans="1:9" ht="24" customHeight="1" thickBot="1" x14ac:dyDescent="0.2">
      <c r="A67" s="548" t="s">
        <v>1084</v>
      </c>
      <c r="B67" s="549"/>
      <c r="C67" s="549"/>
      <c r="D67" s="540"/>
      <c r="E67" s="512"/>
      <c r="F67" s="513"/>
      <c r="G67" s="513"/>
      <c r="H67" s="513"/>
      <c r="I67" s="514"/>
    </row>
    <row r="68" spans="1:9" ht="24" customHeight="1" x14ac:dyDescent="0.15">
      <c r="A68" s="533">
        <v>1</v>
      </c>
      <c r="B68" s="529" t="s">
        <v>1102</v>
      </c>
      <c r="C68" s="530"/>
      <c r="D68" s="531"/>
      <c r="E68" s="632"/>
      <c r="F68" s="633" t="s">
        <v>1103</v>
      </c>
      <c r="G68" s="725"/>
      <c r="H68" s="726"/>
      <c r="I68" s="522"/>
    </row>
    <row r="69" spans="1:9" ht="30" customHeight="1" thickBot="1" x14ac:dyDescent="0.2">
      <c r="A69" s="660" t="s">
        <v>950</v>
      </c>
      <c r="B69" s="524" t="s">
        <v>951</v>
      </c>
      <c r="C69" s="525"/>
      <c r="D69" s="526"/>
      <c r="E69" s="720"/>
      <c r="F69" s="721"/>
      <c r="G69" s="721"/>
      <c r="H69" s="722"/>
      <c r="I69" s="488"/>
    </row>
    <row r="70" spans="1:9" ht="24" customHeight="1" thickBot="1" x14ac:dyDescent="0.2">
      <c r="A70" s="548" t="s">
        <v>1085</v>
      </c>
      <c r="B70" s="549"/>
      <c r="C70" s="549"/>
      <c r="D70" s="549"/>
      <c r="E70" s="513"/>
      <c r="F70" s="513"/>
      <c r="G70" s="513"/>
      <c r="H70" s="513"/>
      <c r="I70" s="514"/>
    </row>
    <row r="71" spans="1:9" ht="30" customHeight="1" thickBot="1" x14ac:dyDescent="0.2">
      <c r="A71" s="576"/>
      <c r="B71" s="577" t="s">
        <v>911</v>
      </c>
      <c r="C71" s="578"/>
      <c r="D71" s="579"/>
      <c r="E71" s="580"/>
      <c r="F71" s="727"/>
      <c r="G71" s="728"/>
      <c r="H71" s="729"/>
      <c r="I71" s="522"/>
    </row>
    <row r="72" spans="1:9" ht="24" customHeight="1" x14ac:dyDescent="0.15">
      <c r="A72" s="556"/>
      <c r="B72" s="556"/>
      <c r="C72" s="556"/>
      <c r="D72" s="556"/>
      <c r="E72" s="556"/>
      <c r="F72" s="556"/>
      <c r="G72" s="556"/>
      <c r="H72" s="556"/>
      <c r="I72" s="556"/>
    </row>
    <row r="73" spans="1:9" ht="24" customHeight="1" x14ac:dyDescent="0.15">
      <c r="A73" s="556"/>
      <c r="B73" s="556"/>
      <c r="C73" s="556"/>
      <c r="D73" s="556"/>
      <c r="E73" s="556"/>
      <c r="F73" s="556"/>
      <c r="G73" s="556"/>
      <c r="H73" s="556"/>
      <c r="I73" s="556"/>
    </row>
    <row r="74" spans="1:9" s="556" customFormat="1" x14ac:dyDescent="0.15"/>
    <row r="75" spans="1:9" s="556" customFormat="1" x14ac:dyDescent="0.15"/>
    <row r="76" spans="1:9" s="556" customFormat="1" x14ac:dyDescent="0.15"/>
    <row r="77" spans="1:9" s="556" customFormat="1" x14ac:dyDescent="0.15"/>
    <row r="78" spans="1:9" s="556" customFormat="1" x14ac:dyDescent="0.15"/>
    <row r="79" spans="1:9" s="556" customFormat="1" x14ac:dyDescent="0.15"/>
    <row r="80" spans="1:9" s="556" customFormat="1" x14ac:dyDescent="0.15"/>
    <row r="81" spans="1:9" s="556" customFormat="1" x14ac:dyDescent="0.15"/>
    <row r="82" spans="1:9" s="556" customFormat="1" x14ac:dyDescent="0.15"/>
    <row r="83" spans="1:9" s="556" customFormat="1" x14ac:dyDescent="0.15"/>
    <row r="84" spans="1:9" s="556" customFormat="1" x14ac:dyDescent="0.15">
      <c r="A84" s="508"/>
      <c r="B84" s="508"/>
      <c r="C84" s="508"/>
      <c r="D84" s="508"/>
      <c r="E84" s="508"/>
      <c r="F84" s="508"/>
      <c r="G84" s="508"/>
      <c r="H84" s="508"/>
      <c r="I84" s="508"/>
    </row>
    <row r="85" spans="1:9" s="556" customFormat="1" x14ac:dyDescent="0.15">
      <c r="A85" s="508"/>
      <c r="B85" s="508"/>
      <c r="C85" s="508"/>
      <c r="D85" s="508"/>
      <c r="E85" s="508"/>
      <c r="F85" s="508"/>
      <c r="G85" s="508"/>
      <c r="H85" s="508"/>
      <c r="I85" s="508"/>
    </row>
  </sheetData>
  <sheetProtection algorithmName="SHA-512" hashValue="eBjoWcTVUOdBkbOITkRUk9X0aJkQY3gnTCU2hpOE72v36kTLK2SzYt9+qNDVpGgyf3e+TgLV2k1tdrGE9P7AZA==" saltValue="gAmN2970jHf89ctoRJkOhw==" spinCount="100000" sheet="1" objects="1" scenarios="1"/>
  <dataConsolidate/>
  <mergeCells count="20">
    <mergeCell ref="E64:H64"/>
    <mergeCell ref="E42:H42"/>
    <mergeCell ref="E22:F22"/>
    <mergeCell ref="G68:H68"/>
    <mergeCell ref="F71:H71"/>
    <mergeCell ref="F66:H66"/>
    <mergeCell ref="F45:G45"/>
    <mergeCell ref="E69:H69"/>
    <mergeCell ref="E46:H46"/>
    <mergeCell ref="E31:H31"/>
    <mergeCell ref="E1:F1"/>
    <mergeCell ref="G11:H11"/>
    <mergeCell ref="E9:F9"/>
    <mergeCell ref="E10:G10"/>
    <mergeCell ref="E26:F26"/>
    <mergeCell ref="E24:F24"/>
    <mergeCell ref="E17:H17"/>
    <mergeCell ref="G12:H12"/>
    <mergeCell ref="G24:H24"/>
    <mergeCell ref="G26:H26"/>
  </mergeCells>
  <phoneticPr fontId="4"/>
  <dataValidations count="1">
    <dataValidation type="list" showInputMessage="1" showErrorMessage="1" promptTitle="下記の場合はセル空欄のままにしてください" prompt="①市町村の選択肢が出ない（エラーではありません）_x000a_②計画地の市町村が選択肢にない_x000a_" sqref="F12" xr:uid="{12EF1D99-8161-422E-B065-23998EC33472}">
      <formula1>INDIRECT(E12)</formula1>
    </dataValidation>
  </dataValidations>
  <pageMargins left="0.7" right="0.7" top="0.75" bottom="0.75" header="0.3" footer="0.3"/>
  <pageSetup paperSize="8" scale="65"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3" r:id="rId4" name="Check Box 89">
              <controlPr defaultSize="0" autoFill="0" autoLine="0" autoPict="0">
                <anchor moveWithCells="1">
                  <from>
                    <xdr:col>5</xdr:col>
                    <xdr:colOff>9525</xdr:colOff>
                    <xdr:row>51</xdr:row>
                    <xdr:rowOff>47625</xdr:rowOff>
                  </from>
                  <to>
                    <xdr:col>6</xdr:col>
                    <xdr:colOff>762000</xdr:colOff>
                    <xdr:row>51</xdr:row>
                    <xdr:rowOff>285750</xdr:rowOff>
                  </to>
                </anchor>
              </controlPr>
            </control>
          </mc:Choice>
        </mc:AlternateContent>
        <mc:AlternateContent xmlns:mc="http://schemas.openxmlformats.org/markup-compatibility/2006">
          <mc:Choice Requires="x14">
            <control shapeId="1115" r:id="rId5" name="Check Box 91">
              <controlPr defaultSize="0" autoFill="0" autoLine="0" autoPict="0">
                <anchor moveWithCells="1">
                  <from>
                    <xdr:col>5</xdr:col>
                    <xdr:colOff>314325</xdr:colOff>
                    <xdr:row>49</xdr:row>
                    <xdr:rowOff>19050</xdr:rowOff>
                  </from>
                  <to>
                    <xdr:col>6</xdr:col>
                    <xdr:colOff>819150</xdr:colOff>
                    <xdr:row>49</xdr:row>
                    <xdr:rowOff>266700</xdr:rowOff>
                  </to>
                </anchor>
              </controlPr>
            </control>
          </mc:Choice>
        </mc:AlternateContent>
        <mc:AlternateContent xmlns:mc="http://schemas.openxmlformats.org/markup-compatibility/2006">
          <mc:Choice Requires="x14">
            <control shapeId="1116" r:id="rId6" name="Check Box 92">
              <controlPr defaultSize="0" autoFill="0" autoLine="0" autoPict="0">
                <anchor moveWithCells="1">
                  <from>
                    <xdr:col>6</xdr:col>
                    <xdr:colOff>800100</xdr:colOff>
                    <xdr:row>49</xdr:row>
                    <xdr:rowOff>47625</xdr:rowOff>
                  </from>
                  <to>
                    <xdr:col>7</xdr:col>
                    <xdr:colOff>1304925</xdr:colOff>
                    <xdr:row>49</xdr:row>
                    <xdr:rowOff>276225</xdr:rowOff>
                  </to>
                </anchor>
              </controlPr>
            </control>
          </mc:Choice>
        </mc:AlternateContent>
        <mc:AlternateContent xmlns:mc="http://schemas.openxmlformats.org/markup-compatibility/2006">
          <mc:Choice Requires="x14">
            <control shapeId="1117" r:id="rId7" name="Check Box 93">
              <controlPr defaultSize="0" autoFill="0" autoLine="0" autoPict="0">
                <anchor moveWithCells="1">
                  <from>
                    <xdr:col>6</xdr:col>
                    <xdr:colOff>790575</xdr:colOff>
                    <xdr:row>48</xdr:row>
                    <xdr:rowOff>47625</xdr:rowOff>
                  </from>
                  <to>
                    <xdr:col>7</xdr:col>
                    <xdr:colOff>1914525</xdr:colOff>
                    <xdr:row>48</xdr:row>
                    <xdr:rowOff>257175</xdr:rowOff>
                  </to>
                </anchor>
              </controlPr>
            </control>
          </mc:Choice>
        </mc:AlternateContent>
        <mc:AlternateContent xmlns:mc="http://schemas.openxmlformats.org/markup-compatibility/2006">
          <mc:Choice Requires="x14">
            <control shapeId="1137" r:id="rId8" name="Check Box 113">
              <controlPr defaultSize="0" autoFill="0" autoLine="0" autoPict="0">
                <anchor moveWithCells="1">
                  <from>
                    <xdr:col>5</xdr:col>
                    <xdr:colOff>314325</xdr:colOff>
                    <xdr:row>48</xdr:row>
                    <xdr:rowOff>28575</xdr:rowOff>
                  </from>
                  <to>
                    <xdr:col>6</xdr:col>
                    <xdr:colOff>438150</xdr:colOff>
                    <xdr:row>48</xdr:row>
                    <xdr:rowOff>266700</xdr:rowOff>
                  </to>
                </anchor>
              </controlPr>
            </control>
          </mc:Choice>
        </mc:AlternateContent>
        <mc:AlternateContent xmlns:mc="http://schemas.openxmlformats.org/markup-compatibility/2006">
          <mc:Choice Requires="x14">
            <control shapeId="1143" r:id="rId9" name="Check Box 119">
              <controlPr defaultSize="0" autoFill="0" autoLine="0" autoPict="0">
                <anchor moveWithCells="1">
                  <from>
                    <xdr:col>5</xdr:col>
                    <xdr:colOff>9525</xdr:colOff>
                    <xdr:row>56</xdr:row>
                    <xdr:rowOff>38100</xdr:rowOff>
                  </from>
                  <to>
                    <xdr:col>5</xdr:col>
                    <xdr:colOff>1152525</xdr:colOff>
                    <xdr:row>56</xdr:row>
                    <xdr:rowOff>266700</xdr:rowOff>
                  </to>
                </anchor>
              </controlPr>
            </control>
          </mc:Choice>
        </mc:AlternateContent>
        <mc:AlternateContent xmlns:mc="http://schemas.openxmlformats.org/markup-compatibility/2006">
          <mc:Choice Requires="x14">
            <control shapeId="1146" r:id="rId10" name="Check Box 122">
              <controlPr defaultSize="0" autoFill="0" autoLine="0" autoPict="0">
                <anchor moveWithCells="1">
                  <from>
                    <xdr:col>5</xdr:col>
                    <xdr:colOff>9525</xdr:colOff>
                    <xdr:row>57</xdr:row>
                    <xdr:rowOff>38100</xdr:rowOff>
                  </from>
                  <to>
                    <xdr:col>5</xdr:col>
                    <xdr:colOff>1343025</xdr:colOff>
                    <xdr:row>57</xdr:row>
                    <xdr:rowOff>266700</xdr:rowOff>
                  </to>
                </anchor>
              </controlPr>
            </control>
          </mc:Choice>
        </mc:AlternateContent>
        <mc:AlternateContent xmlns:mc="http://schemas.openxmlformats.org/markup-compatibility/2006">
          <mc:Choice Requires="x14">
            <control shapeId="1148" r:id="rId11" name="Check Box 124">
              <controlPr defaultSize="0" autoFill="0" autoLine="0" autoPict="0">
                <anchor moveWithCells="1">
                  <from>
                    <xdr:col>5</xdr:col>
                    <xdr:colOff>9525</xdr:colOff>
                    <xdr:row>58</xdr:row>
                    <xdr:rowOff>38100</xdr:rowOff>
                  </from>
                  <to>
                    <xdr:col>5</xdr:col>
                    <xdr:colOff>2219325</xdr:colOff>
                    <xdr:row>58</xdr:row>
                    <xdr:rowOff>266700</xdr:rowOff>
                  </to>
                </anchor>
              </controlPr>
            </control>
          </mc:Choice>
        </mc:AlternateContent>
        <mc:AlternateContent xmlns:mc="http://schemas.openxmlformats.org/markup-compatibility/2006">
          <mc:Choice Requires="x14">
            <control shapeId="1149" r:id="rId12" name="Check Box 125">
              <controlPr defaultSize="0" autoFill="0" autoLine="0" autoPict="0">
                <anchor moveWithCells="1">
                  <from>
                    <xdr:col>6</xdr:col>
                    <xdr:colOff>9525</xdr:colOff>
                    <xdr:row>58</xdr:row>
                    <xdr:rowOff>38100</xdr:rowOff>
                  </from>
                  <to>
                    <xdr:col>6</xdr:col>
                    <xdr:colOff>2219325</xdr:colOff>
                    <xdr:row>58</xdr:row>
                    <xdr:rowOff>266700</xdr:rowOff>
                  </to>
                </anchor>
              </controlPr>
            </control>
          </mc:Choice>
        </mc:AlternateContent>
        <mc:AlternateContent xmlns:mc="http://schemas.openxmlformats.org/markup-compatibility/2006">
          <mc:Choice Requires="x14">
            <control shapeId="1150" r:id="rId13" name="Check Box 126">
              <controlPr defaultSize="0" autoFill="0" autoLine="0" autoPict="0">
                <anchor moveWithCells="1">
                  <from>
                    <xdr:col>7</xdr:col>
                    <xdr:colOff>9525</xdr:colOff>
                    <xdr:row>58</xdr:row>
                    <xdr:rowOff>38100</xdr:rowOff>
                  </from>
                  <to>
                    <xdr:col>7</xdr:col>
                    <xdr:colOff>2219325</xdr:colOff>
                    <xdr:row>58</xdr:row>
                    <xdr:rowOff>266700</xdr:rowOff>
                  </to>
                </anchor>
              </controlPr>
            </control>
          </mc:Choice>
        </mc:AlternateContent>
        <mc:AlternateContent xmlns:mc="http://schemas.openxmlformats.org/markup-compatibility/2006">
          <mc:Choice Requires="x14">
            <control shapeId="1159" r:id="rId14" name="Check Box 135">
              <controlPr defaultSize="0" autoFill="0" autoLine="0" autoPict="0">
                <anchor moveWithCells="1">
                  <from>
                    <xdr:col>5</xdr:col>
                    <xdr:colOff>9525</xdr:colOff>
                    <xdr:row>59</xdr:row>
                    <xdr:rowOff>38100</xdr:rowOff>
                  </from>
                  <to>
                    <xdr:col>6</xdr:col>
                    <xdr:colOff>190500</xdr:colOff>
                    <xdr:row>59</xdr:row>
                    <xdr:rowOff>266700</xdr:rowOff>
                  </to>
                </anchor>
              </controlPr>
            </control>
          </mc:Choice>
        </mc:AlternateContent>
        <mc:AlternateContent xmlns:mc="http://schemas.openxmlformats.org/markup-compatibility/2006">
          <mc:Choice Requires="x14">
            <control shapeId="1190" r:id="rId15" name="Check Box 166">
              <controlPr defaultSize="0" autoFill="0" autoLine="0" autoPict="0">
                <anchor moveWithCells="1">
                  <from>
                    <xdr:col>4</xdr:col>
                    <xdr:colOff>2371725</xdr:colOff>
                    <xdr:row>54</xdr:row>
                    <xdr:rowOff>47625</xdr:rowOff>
                  </from>
                  <to>
                    <xdr:col>6</xdr:col>
                    <xdr:colOff>161925</xdr:colOff>
                    <xdr:row>54</xdr:row>
                    <xdr:rowOff>276225</xdr:rowOff>
                  </to>
                </anchor>
              </controlPr>
            </control>
          </mc:Choice>
        </mc:AlternateContent>
        <mc:AlternateContent xmlns:mc="http://schemas.openxmlformats.org/markup-compatibility/2006">
          <mc:Choice Requires="x14">
            <control shapeId="1191" r:id="rId16" name="Check Box 167">
              <controlPr defaultSize="0" autoFill="0" autoLine="0" autoPict="0">
                <anchor moveWithCells="1">
                  <from>
                    <xdr:col>6</xdr:col>
                    <xdr:colOff>200025</xdr:colOff>
                    <xdr:row>54</xdr:row>
                    <xdr:rowOff>57150</xdr:rowOff>
                  </from>
                  <to>
                    <xdr:col>7</xdr:col>
                    <xdr:colOff>219075</xdr:colOff>
                    <xdr:row>54</xdr:row>
                    <xdr:rowOff>266700</xdr:rowOff>
                  </to>
                </anchor>
              </controlPr>
            </control>
          </mc:Choice>
        </mc:AlternateContent>
        <mc:AlternateContent xmlns:mc="http://schemas.openxmlformats.org/markup-compatibility/2006">
          <mc:Choice Requires="x14">
            <control shapeId="1192" r:id="rId17" name="Check Box 168">
              <controlPr defaultSize="0" autoFill="0" autoLine="0" autoPict="0">
                <anchor moveWithCells="1">
                  <from>
                    <xdr:col>7</xdr:col>
                    <xdr:colOff>266700</xdr:colOff>
                    <xdr:row>54</xdr:row>
                    <xdr:rowOff>38100</xdr:rowOff>
                  </from>
                  <to>
                    <xdr:col>7</xdr:col>
                    <xdr:colOff>2533650</xdr:colOff>
                    <xdr:row>54</xdr:row>
                    <xdr:rowOff>276225</xdr:rowOff>
                  </to>
                </anchor>
              </controlPr>
            </control>
          </mc:Choice>
        </mc:AlternateContent>
        <mc:AlternateContent xmlns:mc="http://schemas.openxmlformats.org/markup-compatibility/2006">
          <mc:Choice Requires="x14">
            <control shapeId="1197" r:id="rId18" name="Check Box 173">
              <controlPr defaultSize="0" autoFill="0" autoLine="0" autoPict="0">
                <anchor moveWithCells="1">
                  <from>
                    <xdr:col>4</xdr:col>
                    <xdr:colOff>28575</xdr:colOff>
                    <xdr:row>50</xdr:row>
                    <xdr:rowOff>57150</xdr:rowOff>
                  </from>
                  <to>
                    <xdr:col>4</xdr:col>
                    <xdr:colOff>2247900</xdr:colOff>
                    <xdr:row>50</xdr:row>
                    <xdr:rowOff>266700</xdr:rowOff>
                  </to>
                </anchor>
              </controlPr>
            </control>
          </mc:Choice>
        </mc:AlternateContent>
        <mc:AlternateContent xmlns:mc="http://schemas.openxmlformats.org/markup-compatibility/2006">
          <mc:Choice Requires="x14">
            <control shapeId="1199" r:id="rId19" name="Check Box 175">
              <controlPr defaultSize="0" autoFill="0" autoLine="0" autoPict="0">
                <anchor moveWithCells="1">
                  <from>
                    <xdr:col>4</xdr:col>
                    <xdr:colOff>28575</xdr:colOff>
                    <xdr:row>54</xdr:row>
                    <xdr:rowOff>47625</xdr:rowOff>
                  </from>
                  <to>
                    <xdr:col>4</xdr:col>
                    <xdr:colOff>2286000</xdr:colOff>
                    <xdr:row>54</xdr:row>
                    <xdr:rowOff>257175</xdr:rowOff>
                  </to>
                </anchor>
              </controlPr>
            </control>
          </mc:Choice>
        </mc:AlternateContent>
        <mc:AlternateContent xmlns:mc="http://schemas.openxmlformats.org/markup-compatibility/2006">
          <mc:Choice Requires="x14">
            <control shapeId="1202" r:id="rId20" name="Check Box 178">
              <controlPr defaultSize="0" autoFill="0" autoLine="0" autoPict="0">
                <anchor moveWithCells="1">
                  <from>
                    <xdr:col>4</xdr:col>
                    <xdr:colOff>19050</xdr:colOff>
                    <xdr:row>51</xdr:row>
                    <xdr:rowOff>47625</xdr:rowOff>
                  </from>
                  <to>
                    <xdr:col>4</xdr:col>
                    <xdr:colOff>2466975</xdr:colOff>
                    <xdr:row>51</xdr:row>
                    <xdr:rowOff>266700</xdr:rowOff>
                  </to>
                </anchor>
              </controlPr>
            </control>
          </mc:Choice>
        </mc:AlternateContent>
        <mc:AlternateContent xmlns:mc="http://schemas.openxmlformats.org/markup-compatibility/2006">
          <mc:Choice Requires="x14">
            <control shapeId="1203" r:id="rId21" name="Check Box 179">
              <controlPr defaultSize="0" autoFill="0" autoLine="0" autoPict="0">
                <anchor moveWithCells="1">
                  <from>
                    <xdr:col>4</xdr:col>
                    <xdr:colOff>19050</xdr:colOff>
                    <xdr:row>49</xdr:row>
                    <xdr:rowOff>0</xdr:rowOff>
                  </from>
                  <to>
                    <xdr:col>5</xdr:col>
                    <xdr:colOff>304800</xdr:colOff>
                    <xdr:row>49</xdr:row>
                    <xdr:rowOff>276225</xdr:rowOff>
                  </to>
                </anchor>
              </controlPr>
            </control>
          </mc:Choice>
        </mc:AlternateContent>
        <mc:AlternateContent xmlns:mc="http://schemas.openxmlformats.org/markup-compatibility/2006">
          <mc:Choice Requires="x14">
            <control shapeId="1204" r:id="rId22" name="Check Box 180">
              <controlPr defaultSize="0" autoFill="0" autoLine="0" autoPict="0">
                <anchor moveWithCells="1">
                  <from>
                    <xdr:col>4</xdr:col>
                    <xdr:colOff>19050</xdr:colOff>
                    <xdr:row>52</xdr:row>
                    <xdr:rowOff>28575</xdr:rowOff>
                  </from>
                  <to>
                    <xdr:col>4</xdr:col>
                    <xdr:colOff>1466850</xdr:colOff>
                    <xdr:row>52</xdr:row>
                    <xdr:rowOff>257175</xdr:rowOff>
                  </to>
                </anchor>
              </controlPr>
            </control>
          </mc:Choice>
        </mc:AlternateContent>
        <mc:AlternateContent xmlns:mc="http://schemas.openxmlformats.org/markup-compatibility/2006">
          <mc:Choice Requires="x14">
            <control shapeId="1207" r:id="rId23" name="Check Box 183">
              <controlPr defaultSize="0" autoFill="0" autoLine="0" autoPict="0">
                <anchor moveWithCells="1">
                  <from>
                    <xdr:col>4</xdr:col>
                    <xdr:colOff>28575</xdr:colOff>
                    <xdr:row>53</xdr:row>
                    <xdr:rowOff>47625</xdr:rowOff>
                  </from>
                  <to>
                    <xdr:col>4</xdr:col>
                    <xdr:colOff>2219325</xdr:colOff>
                    <xdr:row>53</xdr:row>
                    <xdr:rowOff>247650</xdr:rowOff>
                  </to>
                </anchor>
              </controlPr>
            </control>
          </mc:Choice>
        </mc:AlternateContent>
        <mc:AlternateContent xmlns:mc="http://schemas.openxmlformats.org/markup-compatibility/2006">
          <mc:Choice Requires="x14">
            <control shapeId="1208" r:id="rId24" name="Check Box 184">
              <controlPr defaultSize="0" autoFill="0" autoLine="0" autoPict="0">
                <anchor moveWithCells="1">
                  <from>
                    <xdr:col>4</xdr:col>
                    <xdr:colOff>38100</xdr:colOff>
                    <xdr:row>55</xdr:row>
                    <xdr:rowOff>47625</xdr:rowOff>
                  </from>
                  <to>
                    <xdr:col>4</xdr:col>
                    <xdr:colOff>2057400</xdr:colOff>
                    <xdr:row>55</xdr:row>
                    <xdr:rowOff>266700</xdr:rowOff>
                  </to>
                </anchor>
              </controlPr>
            </control>
          </mc:Choice>
        </mc:AlternateContent>
        <mc:AlternateContent xmlns:mc="http://schemas.openxmlformats.org/markup-compatibility/2006">
          <mc:Choice Requires="x14">
            <control shapeId="1209" r:id="rId25" name="Check Box 185">
              <controlPr defaultSize="0" autoFill="0" autoLine="0" autoPict="0">
                <anchor moveWithCells="1">
                  <from>
                    <xdr:col>4</xdr:col>
                    <xdr:colOff>28575</xdr:colOff>
                    <xdr:row>56</xdr:row>
                    <xdr:rowOff>47625</xdr:rowOff>
                  </from>
                  <to>
                    <xdr:col>4</xdr:col>
                    <xdr:colOff>2438400</xdr:colOff>
                    <xdr:row>56</xdr:row>
                    <xdr:rowOff>266700</xdr:rowOff>
                  </to>
                </anchor>
              </controlPr>
            </control>
          </mc:Choice>
        </mc:AlternateContent>
        <mc:AlternateContent xmlns:mc="http://schemas.openxmlformats.org/markup-compatibility/2006">
          <mc:Choice Requires="x14">
            <control shapeId="1210" r:id="rId26" name="Check Box 186">
              <controlPr defaultSize="0" autoFill="0" autoLine="0" autoPict="0">
                <anchor moveWithCells="1">
                  <from>
                    <xdr:col>4</xdr:col>
                    <xdr:colOff>28575</xdr:colOff>
                    <xdr:row>57</xdr:row>
                    <xdr:rowOff>47625</xdr:rowOff>
                  </from>
                  <to>
                    <xdr:col>4</xdr:col>
                    <xdr:colOff>1343025</xdr:colOff>
                    <xdr:row>57</xdr:row>
                    <xdr:rowOff>257175</xdr:rowOff>
                  </to>
                </anchor>
              </controlPr>
            </control>
          </mc:Choice>
        </mc:AlternateContent>
        <mc:AlternateContent xmlns:mc="http://schemas.openxmlformats.org/markup-compatibility/2006">
          <mc:Choice Requires="x14">
            <control shapeId="1211" r:id="rId27" name="Check Box 187">
              <controlPr defaultSize="0" autoFill="0" autoLine="0" autoPict="0">
                <anchor moveWithCells="1">
                  <from>
                    <xdr:col>4</xdr:col>
                    <xdr:colOff>28575</xdr:colOff>
                    <xdr:row>58</xdr:row>
                    <xdr:rowOff>47625</xdr:rowOff>
                  </from>
                  <to>
                    <xdr:col>4</xdr:col>
                    <xdr:colOff>2181225</xdr:colOff>
                    <xdr:row>58</xdr:row>
                    <xdr:rowOff>257175</xdr:rowOff>
                  </to>
                </anchor>
              </controlPr>
            </control>
          </mc:Choice>
        </mc:AlternateContent>
        <mc:AlternateContent xmlns:mc="http://schemas.openxmlformats.org/markup-compatibility/2006">
          <mc:Choice Requires="x14">
            <control shapeId="1212" r:id="rId28" name="Check Box 188">
              <controlPr defaultSize="0" autoFill="0" autoLine="0" autoPict="0">
                <anchor moveWithCells="1">
                  <from>
                    <xdr:col>4</xdr:col>
                    <xdr:colOff>28575</xdr:colOff>
                    <xdr:row>59</xdr:row>
                    <xdr:rowOff>38100</xdr:rowOff>
                  </from>
                  <to>
                    <xdr:col>4</xdr:col>
                    <xdr:colOff>2390775</xdr:colOff>
                    <xdr:row>59</xdr:row>
                    <xdr:rowOff>266700</xdr:rowOff>
                  </to>
                </anchor>
              </controlPr>
            </control>
          </mc:Choice>
        </mc:AlternateContent>
        <mc:AlternateContent xmlns:mc="http://schemas.openxmlformats.org/markup-compatibility/2006">
          <mc:Choice Requires="x14">
            <control shapeId="1222" r:id="rId29" name="Check Box 198">
              <controlPr defaultSize="0" autoFill="0" autoLine="0" autoPict="0">
                <anchor moveWithCells="1">
                  <from>
                    <xdr:col>6</xdr:col>
                    <xdr:colOff>9525</xdr:colOff>
                    <xdr:row>55</xdr:row>
                    <xdr:rowOff>47625</xdr:rowOff>
                  </from>
                  <to>
                    <xdr:col>6</xdr:col>
                    <xdr:colOff>2324100</xdr:colOff>
                    <xdr:row>55</xdr:row>
                    <xdr:rowOff>266700</xdr:rowOff>
                  </to>
                </anchor>
              </controlPr>
            </control>
          </mc:Choice>
        </mc:AlternateContent>
        <mc:AlternateContent xmlns:mc="http://schemas.openxmlformats.org/markup-compatibility/2006">
          <mc:Choice Requires="x14">
            <control shapeId="1224" r:id="rId30" name="Check Box 200">
              <controlPr defaultSize="0" autoFill="0" autoLine="0" autoPict="0">
                <anchor moveWithCells="1">
                  <from>
                    <xdr:col>4</xdr:col>
                    <xdr:colOff>2133600</xdr:colOff>
                    <xdr:row>55</xdr:row>
                    <xdr:rowOff>57150</xdr:rowOff>
                  </from>
                  <to>
                    <xdr:col>5</xdr:col>
                    <xdr:colOff>1390650</xdr:colOff>
                    <xdr:row>55</xdr:row>
                    <xdr:rowOff>276225</xdr:rowOff>
                  </to>
                </anchor>
              </controlPr>
            </control>
          </mc:Choice>
        </mc:AlternateContent>
        <mc:AlternateContent xmlns:mc="http://schemas.openxmlformats.org/markup-compatibility/2006">
          <mc:Choice Requires="x14">
            <control shapeId="1228" r:id="rId31" name="Check Box 204">
              <controlPr defaultSize="0" autoFill="0" autoLine="0" autoPict="0">
                <anchor moveWithCells="1">
                  <from>
                    <xdr:col>6</xdr:col>
                    <xdr:colOff>2409825</xdr:colOff>
                    <xdr:row>55</xdr:row>
                    <xdr:rowOff>57150</xdr:rowOff>
                  </from>
                  <to>
                    <xdr:col>7</xdr:col>
                    <xdr:colOff>1695450</xdr:colOff>
                    <xdr:row>55</xdr:row>
                    <xdr:rowOff>276225</xdr:rowOff>
                  </to>
                </anchor>
              </controlPr>
            </control>
          </mc:Choice>
        </mc:AlternateContent>
        <mc:AlternateContent xmlns:mc="http://schemas.openxmlformats.org/markup-compatibility/2006">
          <mc:Choice Requires="x14">
            <control shapeId="1231" r:id="rId32" name="Check Box 207">
              <controlPr defaultSize="0" autoFill="0" autoLine="0" autoPict="0">
                <anchor moveWithCells="1">
                  <from>
                    <xdr:col>4</xdr:col>
                    <xdr:colOff>28575</xdr:colOff>
                    <xdr:row>48</xdr:row>
                    <xdr:rowOff>57150</xdr:rowOff>
                  </from>
                  <to>
                    <xdr:col>5</xdr:col>
                    <xdr:colOff>0</xdr:colOff>
                    <xdr:row>48</xdr:row>
                    <xdr:rowOff>247650</xdr:rowOff>
                  </to>
                </anchor>
              </controlPr>
            </control>
          </mc:Choice>
        </mc:AlternateContent>
        <mc:AlternateContent xmlns:mc="http://schemas.openxmlformats.org/markup-compatibility/2006">
          <mc:Choice Requires="x14">
            <control shapeId="1234" r:id="rId33" name="Check Box 210">
              <controlPr locked="0" defaultSize="0" autoFill="0" autoLine="0" autoPict="0">
                <anchor moveWithCells="1">
                  <from>
                    <xdr:col>4</xdr:col>
                    <xdr:colOff>28575</xdr:colOff>
                    <xdr:row>47</xdr:row>
                    <xdr:rowOff>57150</xdr:rowOff>
                  </from>
                  <to>
                    <xdr:col>4</xdr:col>
                    <xdr:colOff>1866900</xdr:colOff>
                    <xdr:row>47</xdr:row>
                    <xdr:rowOff>257175</xdr:rowOff>
                  </to>
                </anchor>
              </controlPr>
            </control>
          </mc:Choice>
        </mc:AlternateContent>
        <mc:AlternateContent xmlns:mc="http://schemas.openxmlformats.org/markup-compatibility/2006">
          <mc:Choice Requires="x14">
            <control shapeId="1241" r:id="rId34" name="Check Box 217">
              <controlPr defaultSize="0" autoFill="0" autoLine="0" autoPict="0">
                <anchor moveWithCells="1">
                  <from>
                    <xdr:col>4</xdr:col>
                    <xdr:colOff>9525</xdr:colOff>
                    <xdr:row>61</xdr:row>
                    <xdr:rowOff>76200</xdr:rowOff>
                  </from>
                  <to>
                    <xdr:col>4</xdr:col>
                    <xdr:colOff>2533650</xdr:colOff>
                    <xdr:row>61</xdr:row>
                    <xdr:rowOff>257175</xdr:rowOff>
                  </to>
                </anchor>
              </controlPr>
            </control>
          </mc:Choice>
        </mc:AlternateContent>
        <mc:AlternateContent xmlns:mc="http://schemas.openxmlformats.org/markup-compatibility/2006">
          <mc:Choice Requires="x14">
            <control shapeId="1242" r:id="rId35" name="Check Box 218">
              <controlPr defaultSize="0" autoFill="0" autoLine="0" autoPict="0">
                <anchor moveWithCells="1">
                  <from>
                    <xdr:col>4</xdr:col>
                    <xdr:colOff>2524125</xdr:colOff>
                    <xdr:row>61</xdr:row>
                    <xdr:rowOff>66675</xdr:rowOff>
                  </from>
                  <to>
                    <xdr:col>6</xdr:col>
                    <xdr:colOff>0</xdr:colOff>
                    <xdr:row>61</xdr:row>
                    <xdr:rowOff>266700</xdr:rowOff>
                  </to>
                </anchor>
              </controlPr>
            </control>
          </mc:Choice>
        </mc:AlternateContent>
        <mc:AlternateContent xmlns:mc="http://schemas.openxmlformats.org/markup-compatibility/2006">
          <mc:Choice Requires="x14">
            <control shapeId="1247" r:id="rId36" name="Check Box 223">
              <controlPr defaultSize="0" autoFill="0" autoLine="0" autoPict="0">
                <anchor moveWithCells="1">
                  <from>
                    <xdr:col>4</xdr:col>
                    <xdr:colOff>2524125</xdr:colOff>
                    <xdr:row>62</xdr:row>
                    <xdr:rowOff>57150</xdr:rowOff>
                  </from>
                  <to>
                    <xdr:col>5</xdr:col>
                    <xdr:colOff>2419350</xdr:colOff>
                    <xdr:row>62</xdr:row>
                    <xdr:rowOff>247650</xdr:rowOff>
                  </to>
                </anchor>
              </controlPr>
            </control>
          </mc:Choice>
        </mc:AlternateContent>
        <mc:AlternateContent xmlns:mc="http://schemas.openxmlformats.org/markup-compatibility/2006">
          <mc:Choice Requires="x14">
            <control shapeId="1248" r:id="rId37" name="Check Box 224">
              <controlPr defaultSize="0" autoFill="0" autoLine="0" autoPict="0">
                <anchor moveWithCells="1">
                  <from>
                    <xdr:col>4</xdr:col>
                    <xdr:colOff>9525</xdr:colOff>
                    <xdr:row>62</xdr:row>
                    <xdr:rowOff>57150</xdr:rowOff>
                  </from>
                  <to>
                    <xdr:col>4</xdr:col>
                    <xdr:colOff>2105025</xdr:colOff>
                    <xdr:row>62</xdr:row>
                    <xdr:rowOff>257175</xdr:rowOff>
                  </to>
                </anchor>
              </controlPr>
            </control>
          </mc:Choice>
        </mc:AlternateContent>
        <mc:AlternateContent xmlns:mc="http://schemas.openxmlformats.org/markup-compatibility/2006">
          <mc:Choice Requires="x14">
            <control shapeId="1256" r:id="rId38" name="Check Box 232">
              <controlPr defaultSize="0" autoFill="0" autoLine="0" autoPict="0">
                <anchor moveWithCells="1">
                  <from>
                    <xdr:col>4</xdr:col>
                    <xdr:colOff>19050</xdr:colOff>
                    <xdr:row>60</xdr:row>
                    <xdr:rowOff>47625</xdr:rowOff>
                  </from>
                  <to>
                    <xdr:col>4</xdr:col>
                    <xdr:colOff>1704975</xdr:colOff>
                    <xdr:row>60</xdr:row>
                    <xdr:rowOff>257175</xdr:rowOff>
                  </to>
                </anchor>
              </controlPr>
            </control>
          </mc:Choice>
        </mc:AlternateContent>
        <mc:AlternateContent xmlns:mc="http://schemas.openxmlformats.org/markup-compatibility/2006">
          <mc:Choice Requires="x14">
            <control shapeId="1263" r:id="rId39" name="Check Box 239">
              <controlPr defaultSize="0" autoFill="0" autoLine="0" autoPict="0">
                <anchor moveWithCells="1">
                  <from>
                    <xdr:col>4</xdr:col>
                    <xdr:colOff>28575</xdr:colOff>
                    <xdr:row>70</xdr:row>
                    <xdr:rowOff>95250</xdr:rowOff>
                  </from>
                  <to>
                    <xdr:col>4</xdr:col>
                    <xdr:colOff>1866900</xdr:colOff>
                    <xdr:row>70</xdr:row>
                    <xdr:rowOff>295275</xdr:rowOff>
                  </to>
                </anchor>
              </controlPr>
            </control>
          </mc:Choice>
        </mc:AlternateContent>
        <mc:AlternateContent xmlns:mc="http://schemas.openxmlformats.org/markup-compatibility/2006">
          <mc:Choice Requires="x14">
            <control shapeId="1264" r:id="rId40" name="Check Box 240">
              <controlPr defaultSize="0" autoFill="0" autoLine="0" autoPict="0">
                <anchor moveWithCells="1">
                  <from>
                    <xdr:col>4</xdr:col>
                    <xdr:colOff>19050</xdr:colOff>
                    <xdr:row>65</xdr:row>
                    <xdr:rowOff>76200</xdr:rowOff>
                  </from>
                  <to>
                    <xdr:col>4</xdr:col>
                    <xdr:colOff>2438400</xdr:colOff>
                    <xdr:row>65</xdr:row>
                    <xdr:rowOff>304800</xdr:rowOff>
                  </to>
                </anchor>
              </controlPr>
            </control>
          </mc:Choice>
        </mc:AlternateContent>
        <mc:AlternateContent xmlns:mc="http://schemas.openxmlformats.org/markup-compatibility/2006">
          <mc:Choice Requires="x14">
            <control shapeId="1265" r:id="rId41" name="Check Box 241">
              <controlPr defaultSize="0" autoFill="0" autoLine="0" autoPict="0">
                <anchor moveWithCells="1">
                  <from>
                    <xdr:col>7</xdr:col>
                    <xdr:colOff>142875</xdr:colOff>
                    <xdr:row>52</xdr:row>
                    <xdr:rowOff>38100</xdr:rowOff>
                  </from>
                  <to>
                    <xdr:col>7</xdr:col>
                    <xdr:colOff>2533650</xdr:colOff>
                    <xdr:row>52</xdr:row>
                    <xdr:rowOff>276225</xdr:rowOff>
                  </to>
                </anchor>
              </controlPr>
            </control>
          </mc:Choice>
        </mc:AlternateContent>
        <mc:AlternateContent xmlns:mc="http://schemas.openxmlformats.org/markup-compatibility/2006">
          <mc:Choice Requires="x14">
            <control shapeId="1266" r:id="rId42" name="Check Box 242">
              <controlPr defaultSize="0" autoFill="0" autoLine="0" autoPict="0">
                <anchor moveWithCells="1">
                  <from>
                    <xdr:col>5</xdr:col>
                    <xdr:colOff>2209800</xdr:colOff>
                    <xdr:row>52</xdr:row>
                    <xdr:rowOff>38100</xdr:rowOff>
                  </from>
                  <to>
                    <xdr:col>6</xdr:col>
                    <xdr:colOff>2533650</xdr:colOff>
                    <xdr:row>52</xdr:row>
                    <xdr:rowOff>276225</xdr:rowOff>
                  </to>
                </anchor>
              </controlPr>
            </control>
          </mc:Choice>
        </mc:AlternateContent>
        <mc:AlternateContent xmlns:mc="http://schemas.openxmlformats.org/markup-compatibility/2006">
          <mc:Choice Requires="x14">
            <control shapeId="1267" r:id="rId43" name="Check Box 243">
              <controlPr defaultSize="0" autoFill="0" autoLine="0" autoPict="0">
                <anchor moveWithCells="1">
                  <from>
                    <xdr:col>4</xdr:col>
                    <xdr:colOff>1952625</xdr:colOff>
                    <xdr:row>52</xdr:row>
                    <xdr:rowOff>47625</xdr:rowOff>
                  </from>
                  <to>
                    <xdr:col>5</xdr:col>
                    <xdr:colOff>1962150</xdr:colOff>
                    <xdr:row>52</xdr:row>
                    <xdr:rowOff>276225</xdr:rowOff>
                  </to>
                </anchor>
              </controlPr>
            </control>
          </mc:Choice>
        </mc:AlternateContent>
        <mc:AlternateContent xmlns:mc="http://schemas.openxmlformats.org/markup-compatibility/2006">
          <mc:Choice Requires="x14">
            <control shapeId="1280" r:id="rId44" name="Check Box 256">
              <controlPr defaultSize="0" autoFill="0" autoLine="0" autoPict="0">
                <anchor moveWithCells="1">
                  <from>
                    <xdr:col>4</xdr:col>
                    <xdr:colOff>38100</xdr:colOff>
                    <xdr:row>67</xdr:row>
                    <xdr:rowOff>47625</xdr:rowOff>
                  </from>
                  <to>
                    <xdr:col>4</xdr:col>
                    <xdr:colOff>1419225</xdr:colOff>
                    <xdr:row>67</xdr:row>
                    <xdr:rowOff>276225</xdr:rowOff>
                  </to>
                </anchor>
              </controlPr>
            </control>
          </mc:Choice>
        </mc:AlternateContent>
        <mc:AlternateContent xmlns:mc="http://schemas.openxmlformats.org/markup-compatibility/2006">
          <mc:Choice Requires="x14">
            <control shapeId="1289" r:id="rId45" name="Check Box 265">
              <controlPr defaultSize="0" autoFill="0" autoLine="0" autoPict="0">
                <anchor moveWithCells="1">
                  <from>
                    <xdr:col>6</xdr:col>
                    <xdr:colOff>781050</xdr:colOff>
                    <xdr:row>51</xdr:row>
                    <xdr:rowOff>47625</xdr:rowOff>
                  </from>
                  <to>
                    <xdr:col>7</xdr:col>
                    <xdr:colOff>1619250</xdr:colOff>
                    <xdr:row>51</xdr:row>
                    <xdr:rowOff>285750</xdr:rowOff>
                  </to>
                </anchor>
              </controlPr>
            </control>
          </mc:Choice>
        </mc:AlternateContent>
        <mc:AlternateContent xmlns:mc="http://schemas.openxmlformats.org/markup-compatibility/2006">
          <mc:Choice Requires="x14">
            <control shapeId="1290" r:id="rId46" name="Check Box 266">
              <controlPr defaultSize="0" autoFill="0" autoLine="0" autoPict="0">
                <anchor moveWithCells="1">
                  <from>
                    <xdr:col>4</xdr:col>
                    <xdr:colOff>1504950</xdr:colOff>
                    <xdr:row>67</xdr:row>
                    <xdr:rowOff>38100</xdr:rowOff>
                  </from>
                  <to>
                    <xdr:col>5</xdr:col>
                    <xdr:colOff>1009650</xdr:colOff>
                    <xdr:row>67</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1">
        <x14:dataValidation type="list" allowBlank="1" showInputMessage="1" showErrorMessage="1" xr:uid="{FD361F81-D3BB-44DD-8ADB-42636058F6E1}">
          <x14:formula1>
            <xm:f>検査料金住所検索データ!$B$1:$AV$1</xm:f>
          </x14:formula1>
          <xm:sqref>E12</xm:sqref>
        </x14:dataValidation>
        <x14:dataValidation type="list" allowBlank="1" showInputMessage="1" showErrorMessage="1" promptTitle="用途が一致しない。または、はっきりしない場合" prompt="出来るだけいづれかを選択し、詳細を備考欄に記載_x000a_" xr:uid="{21056867-9D11-419A-988F-7BD0A0E82CB9}">
          <x14:formula1>
            <xm:f>基本入力データシート!$O$3:$O$75</xm:f>
          </x14:formula1>
          <xm:sqref>E16</xm:sqref>
        </x14:dataValidation>
        <x14:dataValidation type="list" allowBlank="1" showInputMessage="1" showErrorMessage="1" xr:uid="{EE49FA14-7D45-4DBD-A1BA-4560E8366C42}">
          <x14:formula1>
            <xm:f>BELS料金表データ!$N$4:$N$14</xm:f>
          </x14:formula1>
          <xm:sqref>G68</xm:sqref>
        </x14:dataValidation>
        <x14:dataValidation type="list" allowBlank="1" showInputMessage="1" showErrorMessage="1" xr:uid="{A5E02DC7-05D2-4B59-A996-3B18393D38CD}">
          <x14:formula1>
            <xm:f>適合証明「フラット」!$L$3:$L$27</xm:f>
          </x14:formula1>
          <xm:sqref>E45</xm:sqref>
        </x14:dataValidation>
        <x14:dataValidation type="list" allowBlank="1" showInputMessage="1" showErrorMessage="1" xr:uid="{66E3F7A6-0102-4ED4-BDEB-F64DB7E1299A}">
          <x14:formula1>
            <xm:f>基本入力データシート!$C$3:$C$5</xm:f>
          </x14:formula1>
          <xm:sqref>G9</xm:sqref>
        </x14:dataValidation>
        <x14:dataValidation type="list" showInputMessage="1" showErrorMessage="1" xr:uid="{C2D05094-AB0D-4321-B4EB-2D298180C615}">
          <x14:formula1>
            <xm:f>確認申請料金表データ!$B$3:$B$33</xm:f>
          </x14:formula1>
          <xm:sqref>E20:G20</xm:sqref>
        </x14:dataValidation>
        <x14:dataValidation type="list" allowBlank="1" showInputMessage="1" showErrorMessage="1" xr:uid="{3BA56746-A7CB-4AD1-9803-72958AAFC1EF}">
          <x14:formula1>
            <xm:f>確認申請料金表データ!$B$4:$B$33</xm:f>
          </x14:formula1>
          <xm:sqref>F14</xm:sqref>
        </x14:dataValidation>
        <x14:dataValidation type="list" showInputMessage="1" showErrorMessage="1" xr:uid="{4E83C91E-897F-4822-9FA7-3D171926D5E5}">
          <x14:formula1>
            <xm:f>基本入力データシート!$O$3:$O$75</xm:f>
          </x14:formula1>
          <xm:sqref>E41 E35:E37 E39</xm:sqref>
        </x14:dataValidation>
        <x14:dataValidation type="list" allowBlank="1" showInputMessage="1" showErrorMessage="1" xr:uid="{C3C296BF-1BEC-4800-9FF4-BCF5C0387F71}">
          <x14:formula1>
            <xm:f>基本入力データシート!$D$3:$D$8</xm:f>
          </x14:formula1>
          <xm:sqref>E8</xm:sqref>
        </x14:dataValidation>
        <x14:dataValidation type="list" allowBlank="1" showInputMessage="1" showErrorMessage="1" promptTitle="建築申請面積と同一の場合" prompt="入力不要" xr:uid="{85574958-2A16-4474-9B63-5F82F59E8D64}">
          <x14:formula1>
            <xm:f>省エネ料金表データ!$A$4:$A$24</xm:f>
          </x14:formula1>
          <xm:sqref>H34</xm:sqref>
        </x14:dataValidation>
        <x14:dataValidation type="list" allowBlank="1" showInputMessage="1" showErrorMessage="1" xr:uid="{D39B500B-4378-4F17-9032-D789C37B1567}">
          <x14:formula1>
            <xm:f>基本入力データシート!$B$3:$B$7</xm:f>
          </x14:formula1>
          <xm:sqref>E1</xm:sqref>
        </x14:dataValidation>
        <x14:dataValidation type="list" allowBlank="1" showInputMessage="1" showErrorMessage="1" xr:uid="{DD0EB79A-8850-445E-904B-CAF887F54FD5}">
          <x14:formula1>
            <xm:f>省エネ料金表データ!$A$4:$A$24</xm:f>
          </x14:formula1>
          <xm:sqref>H35:H37 H39 H41</xm:sqref>
        </x14:dataValidation>
        <x14:dataValidation type="list" allowBlank="1" showInputMessage="1" showErrorMessage="1" promptTitle="入力が必要なのは建築申請面積と同一でない場合のみ" prompt="省エネ適判に該当する延床面積を入力" xr:uid="{217B50A8-764A-4393-8A8B-42790A9E73FA}">
          <x14:formula1>
            <xm:f>省エネ料金表データ!$A$4:$A$24</xm:f>
          </x14:formula1>
          <xm:sqref>H34</xm:sqref>
        </x14:dataValidation>
        <x14:dataValidation type="list" allowBlank="1" showInputMessage="1" showErrorMessage="1" xr:uid="{ED3C2337-6A45-49B2-ADA2-F2175DD1F1FA}">
          <x14:formula1>
            <xm:f>基本入力データシート!$H$4:$H$8</xm:f>
          </x14:formula1>
          <xm:sqref>E14</xm:sqref>
        </x14:dataValidation>
        <x14:dataValidation type="list" allowBlank="1" showInputMessage="1" showErrorMessage="1" xr:uid="{362C3033-57EB-4477-ADEC-EAAA4B231471}">
          <x14:formula1>
            <xm:f>基本入力データシート!$H$3:$H$8</xm:f>
          </x14:formula1>
          <xm:sqref>C39 C41</xm:sqref>
        </x14:dataValidation>
        <x14:dataValidation type="list" allowBlank="1" showInputMessage="1" showErrorMessage="1" xr:uid="{80F308AB-7037-406F-B42F-A6577D787809}">
          <x14:formula1>
            <xm:f>適合証明「フラット」!$T$3:$T$10</xm:f>
          </x14:formula1>
          <xm:sqref>F45</xm:sqref>
        </x14:dataValidation>
        <x14:dataValidation type="list" allowBlank="1" showInputMessage="1" showErrorMessage="1" xr:uid="{7195A808-3600-416F-BF61-48244C9E2548}">
          <x14:formula1>
            <xm:f>確認申請料金表データ!$K$3:$P$3</xm:f>
          </x14:formula1>
          <xm:sqref>E22:F22</xm:sqref>
        </x14:dataValidation>
        <x14:dataValidation type="list" allowBlank="1" showInputMessage="1" showErrorMessage="1" xr:uid="{3426BE54-163D-4FE7-BDB1-22D7D14F5936}">
          <x14:formula1>
            <xm:f>確認申請料金表データ!$X$3:$AJ$3</xm:f>
          </x14:formula1>
          <xm:sqref>E24:H24 E26:H26</xm:sqref>
        </x14:dataValidation>
        <x14:dataValidation type="list" showInputMessage="1" showErrorMessage="1" xr:uid="{8538CCA6-810B-467B-979F-EBC0F4F26895}">
          <x14:formula1>
            <xm:f>INDIRECT(基本入力データシート!$S7)</xm:f>
          </x14:formula1>
          <xm:sqref>G35:G37</xm:sqref>
        </x14:dataValidation>
        <x14:dataValidation type="list" showInputMessage="1" showErrorMessage="1" xr:uid="{F64F88B5-D4B1-4F7D-99A1-30D9FF35293D}">
          <x14:formula1>
            <xm:f>INDIRECT(基本入力データシート!$S10)</xm:f>
          </x14:formula1>
          <xm:sqref>G39</xm:sqref>
        </x14:dataValidation>
        <x14:dataValidation type="list" showInputMessage="1" showErrorMessage="1" xr:uid="{7E1DC54B-7CED-45AA-ABA9-D052CFFD313D}">
          <x14:formula1>
            <xm:f>INDIRECT(基本入力データシート!$S4)</xm:f>
          </x14:formula1>
          <xm:sqref>G41 G34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CD22-4C8A-44B4-817F-468EEDF8EE88}">
  <sheetPr>
    <tabColor rgb="FFFFC000"/>
  </sheetPr>
  <dimension ref="B1:AL300"/>
  <sheetViews>
    <sheetView view="pageBreakPreview" topLeftCell="B12" zoomScaleNormal="100" zoomScaleSheetLayoutView="100" workbookViewId="0">
      <selection activeCell="C18" sqref="C18:D18"/>
    </sheetView>
  </sheetViews>
  <sheetFormatPr defaultColWidth="3.625" defaultRowHeight="16.5" customHeight="1" x14ac:dyDescent="0.15"/>
  <cols>
    <col min="1" max="1" width="0.625" style="1" customWidth="1"/>
    <col min="2" max="2" width="2.75" style="1" customWidth="1"/>
    <col min="3" max="3" width="19.625" style="1" customWidth="1"/>
    <col min="4" max="4" width="17.625" style="1" customWidth="1"/>
    <col min="5" max="5" width="5.25" style="1" customWidth="1"/>
    <col min="6" max="6" width="4.75" style="1" customWidth="1"/>
    <col min="7" max="7" width="7.25" style="1" customWidth="1"/>
    <col min="8" max="9" width="4.75" style="1" customWidth="1"/>
    <col min="10" max="10" width="8.75" style="1" customWidth="1"/>
    <col min="11" max="11" width="13.25" style="1" customWidth="1"/>
    <col min="12" max="12" width="2.75" style="1" customWidth="1"/>
    <col min="13" max="13" width="0.625" style="1" customWidth="1"/>
    <col min="14" max="14" width="3.625" style="1"/>
    <col min="15" max="18" width="3.625" style="1" customWidth="1"/>
    <col min="19" max="16384" width="3.625" style="1"/>
  </cols>
  <sheetData>
    <row r="1" spans="2:38" ht="19.5" customHeight="1" x14ac:dyDescent="0.15">
      <c r="B1" s="204" t="s">
        <v>29</v>
      </c>
      <c r="C1" s="205"/>
      <c r="D1" s="204"/>
      <c r="E1" s="206"/>
      <c r="F1" s="206"/>
      <c r="G1" s="206"/>
      <c r="H1" s="205"/>
      <c r="I1" s="205"/>
      <c r="J1" s="205"/>
      <c r="K1" s="205"/>
      <c r="L1" s="205"/>
      <c r="O1" s="497"/>
      <c r="P1" s="498"/>
      <c r="Q1" s="498"/>
      <c r="R1" s="498"/>
      <c r="S1" s="498"/>
      <c r="T1" s="497"/>
      <c r="U1" s="498"/>
      <c r="V1" s="498"/>
      <c r="W1" s="498"/>
      <c r="X1" s="498"/>
      <c r="Y1" s="498"/>
      <c r="Z1" s="498"/>
      <c r="AA1" s="498"/>
      <c r="AB1" s="499"/>
      <c r="AC1" s="499"/>
      <c r="AD1" s="499"/>
      <c r="AE1" s="499"/>
      <c r="AF1" s="499"/>
      <c r="AG1" s="499"/>
      <c r="AH1" s="499"/>
      <c r="AI1" s="499"/>
      <c r="AJ1" s="499"/>
      <c r="AK1" s="499"/>
      <c r="AL1" s="499"/>
    </row>
    <row r="2" spans="2:38" ht="15" customHeight="1" x14ac:dyDescent="0.15">
      <c r="B2" s="160"/>
      <c r="C2" s="160"/>
      <c r="D2" s="160"/>
      <c r="E2" s="207"/>
      <c r="F2" s="207"/>
      <c r="G2" s="207"/>
      <c r="H2" s="207"/>
      <c r="I2" s="207"/>
      <c r="J2" s="733">
        <f ca="1">TODAY()</f>
        <v>45848</v>
      </c>
      <c r="K2" s="733"/>
      <c r="L2" s="207"/>
      <c r="O2" s="499"/>
      <c r="P2" s="499"/>
      <c r="Q2" s="499"/>
      <c r="R2" s="499"/>
      <c r="S2" s="499"/>
      <c r="T2" s="499"/>
      <c r="U2" s="499"/>
      <c r="V2" s="499"/>
      <c r="W2" s="499"/>
      <c r="X2" s="499"/>
      <c r="Y2" s="499"/>
      <c r="Z2" s="499"/>
      <c r="AA2" s="499"/>
      <c r="AB2" s="499"/>
      <c r="AC2" s="499"/>
      <c r="AD2" s="499"/>
      <c r="AE2" s="499"/>
      <c r="AF2" s="499"/>
      <c r="AG2" s="499"/>
      <c r="AH2" s="499"/>
      <c r="AI2" s="499"/>
      <c r="AJ2" s="499"/>
      <c r="AK2" s="499"/>
      <c r="AL2" s="499"/>
    </row>
    <row r="3" spans="2:38" ht="15" customHeight="1" x14ac:dyDescent="0.15">
      <c r="B3" s="160"/>
      <c r="C3" s="160"/>
      <c r="D3" s="160"/>
      <c r="E3" s="207"/>
      <c r="F3" s="207"/>
      <c r="G3" s="207"/>
      <c r="H3" s="207"/>
      <c r="I3" s="207"/>
      <c r="J3" s="378"/>
      <c r="K3" s="378"/>
      <c r="L3" s="207"/>
      <c r="O3" s="499"/>
      <c r="P3" s="499"/>
      <c r="Q3" s="499"/>
      <c r="R3" s="499"/>
      <c r="S3" s="499"/>
      <c r="T3" s="499"/>
      <c r="U3" s="499"/>
      <c r="V3" s="499"/>
      <c r="W3" s="499"/>
      <c r="X3" s="499"/>
      <c r="Y3" s="499"/>
      <c r="Z3" s="499"/>
      <c r="AA3" s="499"/>
      <c r="AB3" s="499"/>
      <c r="AC3" s="499"/>
      <c r="AD3" s="499"/>
      <c r="AE3" s="499"/>
      <c r="AF3" s="499"/>
      <c r="AG3" s="499"/>
      <c r="AH3" s="499"/>
      <c r="AI3" s="499"/>
      <c r="AJ3" s="499"/>
      <c r="AK3" s="499"/>
      <c r="AL3" s="499"/>
    </row>
    <row r="4" spans="2:38" ht="15" customHeight="1" x14ac:dyDescent="0.15">
      <c r="B4" s="160"/>
      <c r="C4" s="734" t="str">
        <f>+入力シート!E9&amp;"　　"&amp;入力シート!G9</f>
        <v>　　御中</v>
      </c>
      <c r="D4" s="735"/>
      <c r="E4" s="736"/>
      <c r="F4" s="736"/>
      <c r="G4" s="160"/>
      <c r="H4" s="160"/>
      <c r="I4" s="160"/>
      <c r="J4" s="160"/>
      <c r="K4" s="160"/>
      <c r="L4" s="160"/>
      <c r="O4" s="499"/>
      <c r="P4" s="499"/>
      <c r="Q4" s="499"/>
      <c r="R4" s="499"/>
      <c r="S4" s="499"/>
      <c r="T4" s="499"/>
      <c r="U4" s="499"/>
      <c r="V4" s="499"/>
      <c r="W4" s="499"/>
      <c r="X4" s="499"/>
      <c r="Y4" s="499"/>
      <c r="Z4" s="499"/>
      <c r="AA4" s="499"/>
      <c r="AB4" s="499"/>
      <c r="AC4" s="499"/>
      <c r="AD4" s="499"/>
      <c r="AE4" s="499"/>
      <c r="AF4" s="499"/>
      <c r="AG4" s="499"/>
      <c r="AH4" s="499"/>
      <c r="AI4" s="499"/>
      <c r="AJ4" s="499"/>
      <c r="AK4" s="499"/>
      <c r="AL4" s="499"/>
    </row>
    <row r="5" spans="2:38" ht="15" customHeight="1" x14ac:dyDescent="0.15">
      <c r="B5" s="160"/>
      <c r="C5" s="162"/>
      <c r="D5" s="160"/>
      <c r="E5" s="160"/>
      <c r="F5" s="160"/>
      <c r="G5" s="160"/>
      <c r="H5" s="160"/>
      <c r="I5" s="160"/>
      <c r="J5" s="160"/>
      <c r="K5" s="160"/>
      <c r="L5" s="160"/>
      <c r="O5" s="499"/>
      <c r="P5" s="499"/>
      <c r="Q5" s="499"/>
      <c r="R5" s="499"/>
      <c r="S5" s="499"/>
      <c r="T5" s="499"/>
      <c r="U5" s="499"/>
      <c r="V5" s="499"/>
      <c r="W5" s="499"/>
      <c r="X5" s="499"/>
      <c r="Y5" s="499"/>
      <c r="Z5" s="499"/>
      <c r="AA5" s="499"/>
      <c r="AB5" s="499"/>
      <c r="AC5" s="499"/>
      <c r="AD5" s="499"/>
      <c r="AE5" s="499"/>
      <c r="AF5" s="499"/>
      <c r="AG5" s="499"/>
      <c r="AH5" s="499"/>
      <c r="AI5" s="499"/>
      <c r="AJ5" s="499"/>
      <c r="AK5" s="499"/>
      <c r="AL5" s="499"/>
    </row>
    <row r="6" spans="2:38" ht="15" customHeight="1" x14ac:dyDescent="0.15">
      <c r="B6" s="160"/>
      <c r="C6" s="160"/>
      <c r="D6" s="160"/>
      <c r="E6" s="160"/>
      <c r="F6" s="160"/>
      <c r="G6" s="160"/>
      <c r="H6" s="158" t="str" cm="1">
        <f t="array" ref="H6">_xlfn.IFS(入力シート!$E$8=基本入力データシート!$D$3,基本入力データシート!$E$3,入力シート!$E$8=基本入力データシート!$D$7,基本入力データシート!$E$7,入力シート!$E$8=基本入力データシート!$D$8,基本入力データシート!$E$8,入力シート!$E$8=基本入力データシート!$D$4,基本入力データシート!$E$4,入力シート!$E$8=基本入力データシート!$D$5,基本入力データシート!$E$5,入力シート!$E$8=基本入力データシート!$D$6,基本入力データシート!$E$6)</f>
        <v>〒150-0002  東京都渋谷区渋谷1-13-9</v>
      </c>
      <c r="I6" s="159"/>
      <c r="J6" s="160"/>
      <c r="K6" s="160"/>
      <c r="L6" s="160"/>
      <c r="O6" s="499"/>
      <c r="P6" s="499"/>
      <c r="Q6" s="499"/>
      <c r="R6" s="499"/>
      <c r="S6" s="499"/>
      <c r="T6" s="499"/>
      <c r="U6" s="499"/>
      <c r="V6" s="499"/>
      <c r="W6" s="499"/>
      <c r="X6" s="499"/>
      <c r="Y6" s="499"/>
      <c r="Z6" s="499"/>
      <c r="AA6" s="499"/>
      <c r="AB6" s="499"/>
      <c r="AC6" s="499"/>
      <c r="AD6" s="499"/>
      <c r="AE6" s="499"/>
      <c r="AF6" s="499"/>
      <c r="AG6" s="499"/>
      <c r="AH6" s="499"/>
      <c r="AI6" s="499"/>
      <c r="AJ6" s="499"/>
      <c r="AK6" s="499"/>
      <c r="AL6" s="499"/>
    </row>
    <row r="7" spans="2:38" ht="15" customHeight="1" x14ac:dyDescent="0.15">
      <c r="B7" s="160"/>
      <c r="C7" s="160"/>
      <c r="D7" s="160"/>
      <c r="E7" s="160"/>
      <c r="F7" s="160"/>
      <c r="G7" s="160"/>
      <c r="H7" s="158" t="str" cm="1">
        <f t="array" ref="H7">_xlfn.IFS(入力シート!$E$8=基本入力データシート!$D$3,基本入力データシート!$F$3,入力シート!$E$8=基本入力データシート!$D$7,基本入力データシート!$F$7,入力シート!$E$8=基本入力データシート!$D$8,基本入力データシート!$F$8,入力シート!$E$8=基本入力データシート!$D$4,基本入力データシート!$F$4,入力シート!$E$8=基本入力データシート!$D$5,基本入力データシート!$F$5,入力シート!$E$8=基本入力データシート!$D$6,基本入力データシート!$F$6)</f>
        <v>株式会社 J 建築検査センター</v>
      </c>
      <c r="I7" s="161"/>
      <c r="J7" s="160"/>
      <c r="K7" s="160"/>
      <c r="L7" s="208"/>
      <c r="M7" s="5"/>
    </row>
    <row r="8" spans="2:38" ht="15" customHeight="1" x14ac:dyDescent="0.15">
      <c r="B8" s="160"/>
      <c r="C8" s="160"/>
      <c r="D8" s="160"/>
      <c r="E8" s="160"/>
      <c r="F8" s="160"/>
      <c r="G8" s="160"/>
      <c r="H8" s="158" t="str" cm="1">
        <f t="array" ref="H8">_xlfn.IFS(入力シート!$E$8=基本入力データシート!$D$3,基本入力データシート!$G$3,入力シート!$E$8=基本入力データシート!$D$7,基本入力データシート!$G$7,入力シート!$E$8=基本入力データシート!$D$8,基本入力データシート!$G$8,入力シート!$E$8=基本入力データシート!$D$4,基本入力データシート!$G$4,入力シート!$E$8=基本入力データシート!$D$5,基本入力データシート!$G$5,入力シート!$E$8=基本入力データシート!$D$6,基本入力データシート!$G$6)</f>
        <v>TEL:03-5464-7778　FAX:03-5464-7779</v>
      </c>
      <c r="I8" s="161"/>
      <c r="J8" s="160"/>
      <c r="K8" s="160"/>
      <c r="L8" s="160"/>
    </row>
    <row r="9" spans="2:38" ht="15" customHeight="1" x14ac:dyDescent="0.15">
      <c r="B9" s="160"/>
      <c r="C9" s="209" t="s">
        <v>3</v>
      </c>
      <c r="D9" s="160"/>
      <c r="E9" s="160"/>
      <c r="F9" s="160"/>
      <c r="G9" s="160"/>
      <c r="H9" s="160"/>
      <c r="I9" s="161"/>
      <c r="J9" s="160"/>
      <c r="K9" s="160"/>
      <c r="L9" s="160"/>
    </row>
    <row r="10" spans="2:38" ht="11.25" customHeight="1" x14ac:dyDescent="0.15">
      <c r="B10" s="160"/>
      <c r="C10" s="210"/>
      <c r="D10" s="210"/>
      <c r="E10" s="210"/>
      <c r="F10" s="210"/>
      <c r="G10" s="210"/>
      <c r="H10" s="210"/>
      <c r="I10" s="210"/>
      <c r="J10" s="210"/>
      <c r="K10" s="210"/>
      <c r="L10" s="160"/>
    </row>
    <row r="11" spans="2:38" s="10" customFormat="1" ht="24" customHeight="1" x14ac:dyDescent="0.15">
      <c r="B11" s="211"/>
      <c r="C11" s="212" t="s">
        <v>7</v>
      </c>
      <c r="D11" s="737">
        <f>+入力シート!E10</f>
        <v>0</v>
      </c>
      <c r="E11" s="738"/>
      <c r="F11" s="738"/>
      <c r="G11" s="738"/>
      <c r="H11" s="738"/>
      <c r="I11" s="738"/>
      <c r="J11" s="738"/>
      <c r="K11" s="738"/>
      <c r="L11" s="211"/>
    </row>
    <row r="12" spans="2:38" s="10" customFormat="1" ht="24" customHeight="1" x14ac:dyDescent="0.15">
      <c r="B12" s="211"/>
      <c r="C12" s="213" t="s">
        <v>6</v>
      </c>
      <c r="D12" s="163">
        <f>+K43</f>
        <v>87200</v>
      </c>
      <c r="E12" s="214" t="s">
        <v>14</v>
      </c>
      <c r="F12" s="214"/>
      <c r="G12" s="214"/>
      <c r="H12" s="214"/>
      <c r="I12" s="215"/>
      <c r="J12" s="215"/>
      <c r="K12" s="215"/>
      <c r="L12" s="211"/>
    </row>
    <row r="13" spans="2:38" s="2" customFormat="1" ht="15" customHeight="1" x14ac:dyDescent="0.15">
      <c r="B13" s="219"/>
      <c r="C13" s="216" t="s">
        <v>4</v>
      </c>
      <c r="D13" s="217" t="s">
        <v>8</v>
      </c>
      <c r="E13" s="218" t="s">
        <v>5</v>
      </c>
      <c r="F13" s="216"/>
      <c r="G13" s="739"/>
      <c r="H13" s="740"/>
      <c r="I13" s="740"/>
      <c r="J13" s="740"/>
      <c r="K13" s="740"/>
      <c r="L13" s="158"/>
      <c r="O13" s="10"/>
    </row>
    <row r="14" spans="2:38" s="2" customFormat="1" ht="15" customHeight="1" x14ac:dyDescent="0.15">
      <c r="B14" s="741" t="s">
        <v>9</v>
      </c>
      <c r="C14" s="741"/>
      <c r="D14" s="741"/>
      <c r="E14" s="741"/>
      <c r="F14" s="741"/>
      <c r="G14" s="741"/>
      <c r="H14" s="222" t="s">
        <v>10</v>
      </c>
      <c r="I14" s="223" t="s">
        <v>0</v>
      </c>
      <c r="J14" s="224" t="s">
        <v>11</v>
      </c>
      <c r="K14" s="742" t="s">
        <v>12</v>
      </c>
      <c r="L14" s="741"/>
      <c r="O14" s="10"/>
    </row>
    <row r="15" spans="2:38" s="2" customFormat="1" ht="15" customHeight="1" x14ac:dyDescent="0.15">
      <c r="B15" s="220"/>
      <c r="C15" s="164" t="s">
        <v>28</v>
      </c>
      <c r="D15" s="746" t="str">
        <f>+入力シート!E12&amp;入力シート!F12&amp;入力シート!G12</f>
        <v>東京都</v>
      </c>
      <c r="E15" s="738"/>
      <c r="F15" s="738"/>
      <c r="G15" s="738"/>
      <c r="H15" s="747" t="str">
        <f>+入力シート!$E$16</f>
        <v>一戸建ての住宅</v>
      </c>
      <c r="I15" s="748"/>
      <c r="J15" s="748"/>
      <c r="K15" s="166" t="str">
        <f>IF(入力シート!F16="","",入力シート!F16)</f>
        <v/>
      </c>
      <c r="L15" s="187" t="str">
        <f>IF(K15="","","戸")</f>
        <v/>
      </c>
      <c r="O15" s="10"/>
    </row>
    <row r="16" spans="2:38" s="2" customFormat="1" ht="15" customHeight="1" x14ac:dyDescent="0.15">
      <c r="B16" s="221"/>
      <c r="C16" s="165" t="s">
        <v>27</v>
      </c>
      <c r="D16" s="167" t="str">
        <f>+入力シート!E14</f>
        <v>木造</v>
      </c>
      <c r="E16" s="189" t="s">
        <v>46</v>
      </c>
      <c r="F16" s="168">
        <f>+入力シート!G14</f>
        <v>2</v>
      </c>
      <c r="G16" s="190" t="s">
        <v>17</v>
      </c>
      <c r="H16" s="187" t="str">
        <f>IF(入力シート!H14="","-",入力シート!H14)</f>
        <v>-</v>
      </c>
      <c r="I16" s="191" t="s">
        <v>31</v>
      </c>
      <c r="J16" s="192" t="s">
        <v>30</v>
      </c>
      <c r="K16" s="749" t="str">
        <f>+入力シート!F14</f>
        <v>0-100㎡以内(3号)</v>
      </c>
      <c r="L16" s="750"/>
      <c r="O16" s="10"/>
    </row>
    <row r="17" spans="2:15" s="2" customFormat="1" ht="15" customHeight="1" x14ac:dyDescent="0.15">
      <c r="B17" s="333" t="s">
        <v>39</v>
      </c>
      <c r="C17" s="375" t="s">
        <v>38</v>
      </c>
      <c r="D17" s="12"/>
      <c r="E17" s="13"/>
      <c r="F17" s="13"/>
      <c r="G17" s="13"/>
      <c r="H17" s="4"/>
      <c r="I17" s="4"/>
      <c r="J17" s="28"/>
      <c r="K17" s="24"/>
      <c r="L17" s="12"/>
    </row>
    <row r="18" spans="2:15" s="2" customFormat="1" ht="15" customHeight="1" x14ac:dyDescent="0.15">
      <c r="B18" s="185" t="str">
        <f>IF($C18="","","・")</f>
        <v>・</v>
      </c>
      <c r="C18" s="757" t="s">
        <v>1175</v>
      </c>
      <c r="D18" s="754"/>
      <c r="E18" s="31"/>
      <c r="F18" s="31"/>
      <c r="G18" s="31"/>
      <c r="H18" s="174">
        <f>IF($C18="","",1)</f>
        <v>1</v>
      </c>
      <c r="I18" s="174" t="str">
        <f>IF($C18="","","式")</f>
        <v>式</v>
      </c>
      <c r="J18" s="175" cm="1">
        <f t="array" ref="J18">IFERROR(_xlfn.IFS(入力シート!$E$1=確認申請料金表データ!A$1,J68,入力シート!$E$1=確認申請料金表データ!A$107,J118,入力シート!$E$1=確認申請料金表データ!A$211,J168,入力シート!$E$1=確認申請料金表データ!A$315,J218,入力シート!$E$1=確認申請料金表データ!A$419,J268),"")</f>
        <v>45000</v>
      </c>
      <c r="K18" s="176">
        <f>IFERROR(+J18*H18,"")</f>
        <v>45000</v>
      </c>
      <c r="L18" s="185" t="str">
        <f>IF($C18="","","-")</f>
        <v>-</v>
      </c>
    </row>
    <row r="19" spans="2:15" s="2" customFormat="1" ht="15" customHeight="1" x14ac:dyDescent="0.15">
      <c r="B19" s="185" t="str">
        <f>IF($C19="","","・")</f>
        <v/>
      </c>
      <c r="C19" s="487" t="str">
        <f>IF(E19="","",確認申請料金表データ!D3)</f>
        <v/>
      </c>
      <c r="D19" s="303"/>
      <c r="E19" s="751" t="str">
        <f>IF(入力シート!E20="","",入力シート!E20)</f>
        <v/>
      </c>
      <c r="F19" s="752"/>
      <c r="G19" s="753"/>
      <c r="H19" s="174" t="str">
        <f>IF($C19="","",1)</f>
        <v/>
      </c>
      <c r="I19" s="174" t="str">
        <f>IF($C19="","","式")</f>
        <v/>
      </c>
      <c r="J19" s="175" t="str" cm="1">
        <f t="array" ref="J19">IFERROR(_xlfn.IFS(入力シート!$E$1=確認申請料金表データ!A$1,J69,入力シート!$E$1=確認申請料金表データ!A$107,J119,入力シート!$E$1=確認申請料金表データ!A$211,J169,入力シート!$E$1=確認申請料金表データ!A$315,J219,入力シート!$E$1=確認申請料金表データ!A$419,J269),"")</f>
        <v/>
      </c>
      <c r="K19" s="176" t="str">
        <f>IFERROR(+J19*H19,"")</f>
        <v/>
      </c>
      <c r="L19" s="185" t="str">
        <f>IF($C19="","","-")</f>
        <v/>
      </c>
    </row>
    <row r="20" spans="2:15" s="2" customFormat="1" ht="15" customHeight="1" x14ac:dyDescent="0.15">
      <c r="B20" s="185" t="str">
        <f>IF($C20="","","・")</f>
        <v/>
      </c>
      <c r="C20" s="487" t="str">
        <f>IF(E20="","",確認申請料金表データ!E3)</f>
        <v/>
      </c>
      <c r="D20" s="303"/>
      <c r="E20" s="751" t="str">
        <f>IF(入力シート!F20="","",入力シート!F20)</f>
        <v/>
      </c>
      <c r="F20" s="752"/>
      <c r="G20" s="753"/>
      <c r="H20" s="174" t="str">
        <f>IF($C20="","",1)</f>
        <v/>
      </c>
      <c r="I20" s="174" t="str">
        <f>IF($C20="","","式")</f>
        <v/>
      </c>
      <c r="J20" s="175" t="str" cm="1">
        <f t="array" ref="J20">IFERROR(_xlfn.IFS(入力シート!$E$1=確認申請料金表データ!A$1,J70,入力シート!$E$1=確認申請料金表データ!A$107,J120,入力シート!$E$1=確認申請料金表データ!A$211,J170,入力シート!$E$1=確認申請料金表データ!A$315,J220,入力シート!$E$1=確認申請料金表データ!A$419,J270),"")</f>
        <v/>
      </c>
      <c r="K20" s="176" t="str">
        <f>IFERROR(+J20*H20,"")</f>
        <v/>
      </c>
      <c r="L20" s="185" t="str">
        <f>IF($C20="","","-")</f>
        <v/>
      </c>
      <c r="O20" s="270"/>
    </row>
    <row r="21" spans="2:15" s="2" customFormat="1" ht="15" customHeight="1" x14ac:dyDescent="0.15">
      <c r="B21" s="185" t="str">
        <f>IF($C21="","","・")</f>
        <v/>
      </c>
      <c r="C21" s="487" t="str">
        <f>IF(E21="","",確認申請料金表データ!F3)</f>
        <v/>
      </c>
      <c r="D21" s="303"/>
      <c r="E21" s="751" t="str">
        <f>IF(入力シート!G20="","",入力シート!G20)</f>
        <v/>
      </c>
      <c r="F21" s="752"/>
      <c r="G21" s="753"/>
      <c r="H21" s="174" t="str">
        <f>IF($C21="","",1)</f>
        <v/>
      </c>
      <c r="I21" s="174" t="str">
        <f>IF($C21="","","式")</f>
        <v/>
      </c>
      <c r="J21" s="175" t="str" cm="1">
        <f t="array" ref="J21">IFERROR(_xlfn.IFS(入力シート!$E$1=確認申請料金表データ!A$1,J71,入力シート!$E$1=確認申請料金表データ!A$107,J121,入力シート!$E$1=確認申請料金表データ!A$211,J171,入力シート!$E$1=確認申請料金表データ!A$315,J221,入力シート!$E$1=確認申請料金表データ!A$419,J271),"")</f>
        <v/>
      </c>
      <c r="K21" s="176" t="str">
        <f>IFERROR(+J21*H21,"")</f>
        <v/>
      </c>
      <c r="L21" s="185" t="str">
        <f>IF($C21="","","-")</f>
        <v/>
      </c>
      <c r="O21" s="270"/>
    </row>
    <row r="22" spans="2:15" s="2" customFormat="1" ht="15" customHeight="1" x14ac:dyDescent="0.15">
      <c r="B22" s="185" t="str">
        <f>IF($C22="","","・")</f>
        <v>・</v>
      </c>
      <c r="C22" s="743" t="str">
        <f>IF(入力シート!E22="","",入力シート!E22)</f>
        <v>完了検査(工事完了通知)基本手数料(省エネ適判なし)</v>
      </c>
      <c r="D22" s="744"/>
      <c r="E22" s="754"/>
      <c r="F22" s="754"/>
      <c r="G22" s="755"/>
      <c r="H22" s="174">
        <f>IF($C22="","",1)</f>
        <v>1</v>
      </c>
      <c r="I22" s="174" t="str">
        <f>IF($C22="","","式")</f>
        <v>式</v>
      </c>
      <c r="J22" s="175" cm="1">
        <f t="array" ref="J22">IFERROR(_xlfn.IFS(入力シート!$E$1=確認申請料金表データ!A$1,J72,入力シート!$E$1=確認申請料金表データ!A$107,J122,入力シート!$E$1=確認申請料金表データ!A$211,J172,入力シート!$E$1=確認申請料金表データ!A$315,J222,入力シート!$E$1=確認申請料金表データ!A$419,J272),"")</f>
        <v>40000</v>
      </c>
      <c r="K22" s="176">
        <f>IFERROR(+J22*H22,"")</f>
        <v>40000</v>
      </c>
      <c r="L22" s="185" t="str">
        <f>IF($C22="","","-")</f>
        <v>-</v>
      </c>
    </row>
    <row r="23" spans="2:15" s="2" customFormat="1" ht="15" customHeight="1" x14ac:dyDescent="0.15">
      <c r="B23" s="185" t="str">
        <f t="shared" ref="B23" si="0">IF($C23="","","・")</f>
        <v/>
      </c>
      <c r="C23" s="743" t="str">
        <f>IF(入力シート!G22="","",+確認申請料金表データ!Q3)</f>
        <v/>
      </c>
      <c r="D23" s="743"/>
      <c r="E23" s="743"/>
      <c r="F23" s="743"/>
      <c r="G23" s="756"/>
      <c r="H23" s="260" t="str">
        <f>+IF(入力シート!G22="","",(入力シート!G22-1))</f>
        <v/>
      </c>
      <c r="I23" s="174" t="str">
        <f>IF(H23="","","棟")</f>
        <v/>
      </c>
      <c r="J23" s="175" t="str" cm="1">
        <f t="array" ref="J23">IFERROR(_xlfn.IFS(入力シート!$E$1=確認申請料金表データ!A$1,J73,入力シート!$E$1=確認申請料金表データ!A$107,J123,入力シート!$E$1=確認申請料金表データ!A$211,J173,入力シート!$E$1=確認申請料金表データ!A$315,J223,入力シート!$E$1=確認申請料金表データ!A$419,J273),"")</f>
        <v/>
      </c>
      <c r="K23" s="176" t="str">
        <f t="shared" ref="K23" si="1">IFERROR(+J23*H23,"")</f>
        <v/>
      </c>
      <c r="L23" s="185" t="str">
        <f t="shared" ref="L23" si="2">IF($C23="","","-")</f>
        <v/>
      </c>
    </row>
    <row r="24" spans="2:15" s="2" customFormat="1" ht="15" customHeight="1" x14ac:dyDescent="0.15">
      <c r="B24" s="334"/>
      <c r="C24" s="7"/>
      <c r="D24" s="12"/>
      <c r="E24" s="31"/>
      <c r="F24" s="31"/>
      <c r="G24" s="31"/>
      <c r="H24" s="4"/>
      <c r="I24" s="4"/>
      <c r="J24" s="156"/>
      <c r="K24" s="24"/>
      <c r="L24" s="186"/>
    </row>
    <row r="25" spans="2:15" s="2" customFormat="1" ht="15" customHeight="1" x14ac:dyDescent="0.15">
      <c r="B25" s="335" t="s">
        <v>13</v>
      </c>
      <c r="C25" s="225" t="s">
        <v>123</v>
      </c>
      <c r="D25" s="12"/>
      <c r="E25" s="31"/>
      <c r="F25" s="31"/>
      <c r="G25" s="31"/>
      <c r="H25" s="4"/>
      <c r="I25" s="4"/>
      <c r="J25" s="156"/>
      <c r="K25" s="24"/>
      <c r="L25" s="186"/>
    </row>
    <row r="26" spans="2:15" s="2" customFormat="1" ht="15" customHeight="1" x14ac:dyDescent="0.15">
      <c r="B26" s="185" t="str">
        <f>IF($C26="","",1)</f>
        <v/>
      </c>
      <c r="C26" s="743" t="str">
        <f>IF(入力シート!E24="","",入力シート!E24)</f>
        <v/>
      </c>
      <c r="D26" s="744"/>
      <c r="E26" s="744"/>
      <c r="F26" s="744"/>
      <c r="G26" s="745"/>
      <c r="H26" s="174" t="str">
        <f t="shared" ref="H26:H36" si="3">IF($C26="","",1)</f>
        <v/>
      </c>
      <c r="I26" s="174" t="str">
        <f t="shared" ref="I26:I36" si="4">IF($C26="","","式")</f>
        <v/>
      </c>
      <c r="J26" s="175" t="str" cm="1">
        <f t="array" ref="J26">IFERROR(_xlfn.IFS(入力シート!$E$1=確認申請料金表データ!A$1,J76,入力シート!$E$1=確認申請料金表データ!A$107,J126,入力シート!$E$1=確認申請料金表データ!A$211,J176,入力シート!$E$1=確認申請料金表データ!A$315,J226,入力シート!$E$1=確認申請料金表データ!A$419,J276),"")</f>
        <v/>
      </c>
      <c r="K26" s="176" t="str">
        <f>IFERROR(+J26*H26,"")</f>
        <v/>
      </c>
      <c r="L26" s="185" t="str">
        <f>IF($C26="","","-")</f>
        <v/>
      </c>
      <c r="O26" s="286"/>
    </row>
    <row r="27" spans="2:15" s="2" customFormat="1" ht="15" customHeight="1" x14ac:dyDescent="0.15">
      <c r="B27" s="185" t="str">
        <f>IF($C27="","",2)</f>
        <v/>
      </c>
      <c r="C27" s="743" t="str">
        <f>IF(入力シート!G24="","",入力シート!G24)</f>
        <v/>
      </c>
      <c r="D27" s="744"/>
      <c r="E27" s="744"/>
      <c r="F27" s="744"/>
      <c r="G27" s="745"/>
      <c r="H27" s="174" t="str">
        <f t="shared" si="3"/>
        <v/>
      </c>
      <c r="I27" s="174" t="str">
        <f t="shared" si="4"/>
        <v/>
      </c>
      <c r="J27" s="175" t="str" cm="1">
        <f t="array" ref="J27">IFERROR(_xlfn.IFS(入力シート!$E$1=確認申請料金表データ!A$1,J77,入力シート!$E$1=確認申請料金表データ!A$107,J127,入力シート!$E$1=確認申請料金表データ!A$211,J177,入力シート!$E$1=確認申請料金表データ!A$315,J227,入力シート!$E$1=確認申請料金表データ!A$419,J277),"")</f>
        <v/>
      </c>
      <c r="K27" s="176" t="str">
        <f t="shared" ref="K27:K30" si="5">IFERROR(+J27*H27,"")</f>
        <v/>
      </c>
      <c r="L27" s="185" t="str">
        <f t="shared" ref="L27:L33" si="6">IF($C27="","","-")</f>
        <v/>
      </c>
      <c r="O27" s="286"/>
    </row>
    <row r="28" spans="2:15" s="2" customFormat="1" ht="15" customHeight="1" x14ac:dyDescent="0.15">
      <c r="B28" s="185" t="str">
        <f>IF($C28="","",3)</f>
        <v/>
      </c>
      <c r="C28" s="743" t="str">
        <f>IF(入力シート!E26="","",入力シート!E26)</f>
        <v/>
      </c>
      <c r="D28" s="744"/>
      <c r="E28" s="744"/>
      <c r="F28" s="744"/>
      <c r="G28" s="745"/>
      <c r="H28" s="174" t="str">
        <f t="shared" si="3"/>
        <v/>
      </c>
      <c r="I28" s="174" t="str">
        <f t="shared" si="4"/>
        <v/>
      </c>
      <c r="J28" s="175" t="str" cm="1">
        <f t="array" ref="J28">IFERROR(_xlfn.IFS(入力シート!$E$1=確認申請料金表データ!A$1,J78,入力シート!$E$1=確認申請料金表データ!A$107,J128,入力シート!$E$1=確認申請料金表データ!A$211,J178,入力シート!$E$1=確認申請料金表データ!A$315,J228,入力シート!$E$1=確認申請料金表データ!A$419,J278),"")</f>
        <v/>
      </c>
      <c r="K28" s="176" t="str">
        <f t="shared" si="5"/>
        <v/>
      </c>
      <c r="L28" s="185" t="str">
        <f t="shared" si="6"/>
        <v/>
      </c>
    </row>
    <row r="29" spans="2:15" s="2" customFormat="1" ht="15" customHeight="1" x14ac:dyDescent="0.15">
      <c r="B29" s="185" t="str">
        <f>IF($C29="","",4)</f>
        <v/>
      </c>
      <c r="C29" s="743" t="str">
        <f>IF(入力シート!G26="","",入力シート!G26)</f>
        <v/>
      </c>
      <c r="D29" s="744"/>
      <c r="E29" s="744"/>
      <c r="F29" s="744"/>
      <c r="G29" s="745"/>
      <c r="H29" s="174" t="str">
        <f t="shared" si="3"/>
        <v/>
      </c>
      <c r="I29" s="174" t="str">
        <f t="shared" si="4"/>
        <v/>
      </c>
      <c r="J29" s="175" t="str" cm="1">
        <f t="array" ref="J29">IFERROR(_xlfn.IFS(入力シート!$E$1=確認申請料金表データ!A$1,J79,入力シート!$E$1=確認申請料金表データ!A$107,J129,入力シート!$E$1=確認申請料金表データ!A$211,J179,入力シート!$E$1=確認申請料金表データ!A$315,J229,入力シート!$E$1=確認申請料金表データ!A$419,J279),"")</f>
        <v/>
      </c>
      <c r="K29" s="176" t="str">
        <f t="shared" si="5"/>
        <v/>
      </c>
      <c r="L29" s="185" t="str">
        <f t="shared" si="6"/>
        <v/>
      </c>
    </row>
    <row r="30" spans="2:15" s="2" customFormat="1" ht="15" customHeight="1" x14ac:dyDescent="0.15">
      <c r="B30" s="185" t="str">
        <f>IF($C30="","",5)</f>
        <v/>
      </c>
      <c r="C30" s="743" t="str">
        <f>IF(入力シート!F28="","",確認申請料金表データ!AK3)</f>
        <v/>
      </c>
      <c r="D30" s="744"/>
      <c r="E30" s="744"/>
      <c r="F30" s="744"/>
      <c r="G30" s="745"/>
      <c r="H30" s="174" t="str">
        <f>IF($C30="","",SUM(入力シート!F28-1))</f>
        <v/>
      </c>
      <c r="I30" s="174" t="str">
        <f>IF($C30="","","棟")</f>
        <v/>
      </c>
      <c r="J30" s="175" t="str" cm="1">
        <f t="array" ref="J30">IFERROR(_xlfn.IFS(入力シート!$E$1=確認申請料金表データ!A$1,J80,入力シート!$E$1=確認申請料金表データ!A$107,J130,入力シート!$E$1=確認申請料金表データ!A$211,J180,入力シート!$E$1=確認申請料金表データ!A$315,J230,入力シート!$E$1=確認申請料金表データ!A$419,J280),"")</f>
        <v/>
      </c>
      <c r="K30" s="176" t="str">
        <f t="shared" si="5"/>
        <v/>
      </c>
      <c r="L30" s="185" t="str">
        <f t="shared" si="6"/>
        <v/>
      </c>
    </row>
    <row r="31" spans="2:15" s="2" customFormat="1" ht="15" customHeight="1" x14ac:dyDescent="0.15">
      <c r="B31" s="185" t="str">
        <f>IF($C31="","",6)</f>
        <v/>
      </c>
      <c r="C31" s="743" t="str">
        <f>IF(入力シート!H28="","",確認申請料金表データ!AL3)</f>
        <v/>
      </c>
      <c r="D31" s="744"/>
      <c r="E31" s="744"/>
      <c r="F31" s="744"/>
      <c r="G31" s="745"/>
      <c r="H31" s="174" t="str">
        <f>IF($C31="","",入力シート!H28)</f>
        <v/>
      </c>
      <c r="I31" s="174" t="str">
        <f t="shared" ref="I31:I33" si="7">IF($C31="","","棟")</f>
        <v/>
      </c>
      <c r="J31" s="175" t="str" cm="1">
        <f t="array" ref="J31">IFERROR(_xlfn.IFS(入力シート!$E$1=確認申請料金表データ!A$1,J81,入力シート!$E$1=確認申請料金表データ!A$107,J131,入力シート!$E$1=確認申請料金表データ!A$211,J181,入力シート!$E$1=確認申請料金表データ!A$315,J231,入力シート!$E$1=確認申請料金表データ!A$419,J281),"")</f>
        <v/>
      </c>
      <c r="K31" s="176" t="str">
        <f>IFERROR(+J31*H31,"")</f>
        <v/>
      </c>
      <c r="L31" s="185" t="str">
        <f t="shared" si="6"/>
        <v/>
      </c>
    </row>
    <row r="32" spans="2:15" s="2" customFormat="1" ht="15" customHeight="1" x14ac:dyDescent="0.15">
      <c r="B32" s="185" t="str">
        <f>IF($C32="","",7)</f>
        <v/>
      </c>
      <c r="C32" s="743" t="str">
        <f>IF(入力シート!F30="","",確認申請料金表データ!AM3)</f>
        <v/>
      </c>
      <c r="D32" s="744"/>
      <c r="E32" s="744"/>
      <c r="F32" s="744"/>
      <c r="G32" s="745"/>
      <c r="H32" s="174" t="str">
        <f>IF($C32="","",入力シート!F30)</f>
        <v/>
      </c>
      <c r="I32" s="174" t="str">
        <f t="shared" si="7"/>
        <v/>
      </c>
      <c r="J32" s="175" t="str" cm="1">
        <f t="array" ref="J32">IFERROR(_xlfn.IFS(入力シート!$E$1=確認申請料金表データ!A$1,J82,入力シート!$E$1=確認申請料金表データ!A$107,J132,入力シート!$E$1=確認申請料金表データ!A$211,J182,入力シート!$E$1=確認申請料金表データ!A$315,J232,入力シート!$E$1=確認申請料金表データ!A$419,J282),"")</f>
        <v/>
      </c>
      <c r="K32" s="176" t="str">
        <f>IFERROR(+J32*H32,"")</f>
        <v/>
      </c>
      <c r="L32" s="185" t="str">
        <f t="shared" si="6"/>
        <v/>
      </c>
    </row>
    <row r="33" spans="2:15" s="2" customFormat="1" ht="15" customHeight="1" x14ac:dyDescent="0.15">
      <c r="B33" s="185" t="str">
        <f>IF($C33="","",8)</f>
        <v/>
      </c>
      <c r="C33" s="743" t="str">
        <f>IF(入力シート!H30="","",確認申請料金表データ!AN3)</f>
        <v/>
      </c>
      <c r="D33" s="744"/>
      <c r="E33" s="744"/>
      <c r="F33" s="744"/>
      <c r="G33" s="745"/>
      <c r="H33" s="174" t="str">
        <f>IF($C33="","",入力シート!H30)</f>
        <v/>
      </c>
      <c r="I33" s="174" t="str">
        <f t="shared" si="7"/>
        <v/>
      </c>
      <c r="J33" s="175" t="str" cm="1">
        <f t="array" ref="J33">IFERROR(_xlfn.IFS(入力シート!$E$1=確認申請料金表データ!A$1,J83,入力シート!$E$1=確認申請料金表データ!A$107,J133,入力シート!$E$1=確認申請料金表データ!A$211,J183,入力シート!$E$1=確認申請料金表データ!A$315,J233,入力シート!$E$1=確認申請料金表データ!A$419,J283),"")</f>
        <v/>
      </c>
      <c r="K33" s="176" t="str">
        <f t="shared" ref="K33" si="8">IFERROR(+J33*H33,"")</f>
        <v/>
      </c>
      <c r="L33" s="185" t="str">
        <f t="shared" si="6"/>
        <v/>
      </c>
    </row>
    <row r="34" spans="2:15" s="2" customFormat="1" ht="15" customHeight="1" x14ac:dyDescent="0.15">
      <c r="B34" s="186"/>
      <c r="C34" s="7"/>
      <c r="D34" s="459"/>
      <c r="E34" s="459"/>
      <c r="F34" s="459"/>
      <c r="G34" s="460"/>
      <c r="H34" s="4"/>
      <c r="I34" s="4"/>
      <c r="J34" s="156"/>
      <c r="K34" s="24"/>
      <c r="L34" s="186"/>
      <c r="O34" s="270"/>
    </row>
    <row r="35" spans="2:15" s="2" customFormat="1" ht="15" customHeight="1" x14ac:dyDescent="0.15">
      <c r="B35" s="335" t="s">
        <v>13</v>
      </c>
      <c r="C35" s="225" t="s">
        <v>125</v>
      </c>
      <c r="D35" s="188"/>
      <c r="E35" s="31"/>
      <c r="F35" s="31"/>
      <c r="G35" s="31"/>
      <c r="H35" s="4"/>
      <c r="I35" s="4"/>
      <c r="J35" s="156"/>
      <c r="K35" s="24"/>
      <c r="L35" s="186"/>
    </row>
    <row r="36" spans="2:15" s="2" customFormat="1" ht="15" customHeight="1" x14ac:dyDescent="0.15">
      <c r="B36" s="185" t="str">
        <f t="shared" ref="B36:B37" si="9">IF($C36="","","・")</f>
        <v/>
      </c>
      <c r="C36" s="743" t="str" cm="1">
        <f t="array" ref="C36">+_xlfn.IFS(基本入力データシート!S6&lt;&gt;"仕様基準","",AND(基本入力データシート!S6="仕様基準",K15&lt;&gt;""),確認申請料金表データ!T3,AND(基本入力データシート!S6="仕様基準",K15=""),確認申請料金表データ!S3)</f>
        <v/>
      </c>
      <c r="D36" s="744"/>
      <c r="E36" s="744"/>
      <c r="F36" s="744"/>
      <c r="G36" s="745"/>
      <c r="H36" s="174" t="str">
        <f t="shared" si="3"/>
        <v/>
      </c>
      <c r="I36" s="174" t="str">
        <f t="shared" si="4"/>
        <v/>
      </c>
      <c r="J36" s="175" t="str" cm="1">
        <f t="array" ref="J36">IFERROR(_xlfn.IFS(入力シート!$E$1=確認申請料金表データ!A$1,J86,入力シート!$E$1=確認申請料金表データ!A$107,J136,入力シート!$E$1=確認申請料金表データ!A$211,J186,入力シート!$E$1=確認申請料金表データ!A$315,J236,入力シート!$E$1=確認申請料金表データ!A$419,J286),"")</f>
        <v/>
      </c>
      <c r="K36" s="176" t="str">
        <f t="shared" ref="K36:K37" si="10">IFERROR(+J36*H36,"")</f>
        <v/>
      </c>
      <c r="L36" s="185" t="str">
        <f t="shared" ref="L36:L37" si="11">IF($C36="","","-")</f>
        <v/>
      </c>
    </row>
    <row r="37" spans="2:15" s="2" customFormat="1" ht="15" customHeight="1" x14ac:dyDescent="0.15">
      <c r="B37" s="185" t="str">
        <f t="shared" si="9"/>
        <v/>
      </c>
      <c r="C37" s="743" t="str" cm="1">
        <f t="array" ref="C37">+_xlfn.IFS(C36=確認申請料金表データ!S3,"",C36=確認申請料金表データ!T3,確認申請料金表データ!V109,C36="","")</f>
        <v/>
      </c>
      <c r="D37" s="744"/>
      <c r="E37" s="744"/>
      <c r="F37" s="744"/>
      <c r="G37" s="745"/>
      <c r="H37" s="174" t="str">
        <f>+IF(C37="","",$K$15)</f>
        <v/>
      </c>
      <c r="I37" s="174" t="str">
        <f>IF($C37="","","戸")</f>
        <v/>
      </c>
      <c r="J37" s="175" t="str" cm="1">
        <f t="array" ref="J37">IFERROR(_xlfn.IFS(入力シート!$E$1=確認申請料金表データ!A$1,J87,入力シート!$E$1=確認申請料金表データ!A$107,J137,入力シート!$E$1=確認申請料金表データ!A$211,J187,入力シート!$E$1=確認申請料金表データ!A$315,J237,入力シート!$E$1=確認申請料金表データ!A$419,J287),"")</f>
        <v/>
      </c>
      <c r="K37" s="176" t="str">
        <f t="shared" si="10"/>
        <v/>
      </c>
      <c r="L37" s="185" t="str">
        <f t="shared" si="11"/>
        <v/>
      </c>
    </row>
    <row r="38" spans="2:15" s="2" customFormat="1" ht="15" customHeight="1" x14ac:dyDescent="0.15">
      <c r="B38" s="334"/>
      <c r="C38" s="7"/>
      <c r="D38" s="12"/>
      <c r="E38" s="31"/>
      <c r="F38" s="31"/>
      <c r="G38" s="31"/>
      <c r="H38" s="4"/>
      <c r="I38" s="4"/>
      <c r="J38" s="156"/>
      <c r="K38" s="24"/>
      <c r="L38" s="186"/>
    </row>
    <row r="39" spans="2:15" s="2" customFormat="1" ht="15" customHeight="1" x14ac:dyDescent="0.15">
      <c r="B39" s="336"/>
      <c r="C39" s="14"/>
      <c r="D39" s="14"/>
      <c r="E39" s="14"/>
      <c r="F39" s="14"/>
      <c r="G39" s="14"/>
      <c r="H39" s="227" t="s">
        <v>21</v>
      </c>
      <c r="I39" s="228"/>
      <c r="J39" s="228"/>
      <c r="K39" s="180">
        <f>SUM(K18:K37)</f>
        <v>85000</v>
      </c>
      <c r="L39" s="305" t="s">
        <v>1</v>
      </c>
      <c r="M39" s="158"/>
    </row>
    <row r="40" spans="2:15" s="2" customFormat="1" ht="15" customHeight="1" x14ac:dyDescent="0.15">
      <c r="B40" s="232" t="s">
        <v>13</v>
      </c>
      <c r="C40" s="230" t="s">
        <v>128</v>
      </c>
      <c r="D40" s="231"/>
      <c r="E40" s="231"/>
      <c r="F40" s="231"/>
      <c r="G40" s="231"/>
      <c r="H40" s="229"/>
      <c r="I40" s="232"/>
      <c r="J40" s="233"/>
      <c r="K40" s="233"/>
      <c r="L40" s="232"/>
      <c r="M40" s="158"/>
    </row>
    <row r="41" spans="2:15" s="2" customFormat="1" ht="15" customHeight="1" x14ac:dyDescent="0.15">
      <c r="B41" s="185"/>
      <c r="C41" s="235" t="s">
        <v>127</v>
      </c>
      <c r="D41" s="652" t="str">
        <f>IF(D15="","",基本入力データシート!N3)</f>
        <v>東京都</v>
      </c>
      <c r="E41" s="192"/>
      <c r="F41" s="192"/>
      <c r="G41" s="650"/>
      <c r="H41" s="341" cm="1">
        <f t="array" ref="H41">+_xlfn.IFS(C$19="",1,C$20="",2,C$21="",3,C$21&lt;&gt;"",4)</f>
        <v>1</v>
      </c>
      <c r="I41" s="169" t="s">
        <v>15</v>
      </c>
      <c r="J41" s="268">
        <f>IFERROR(_xlfn.XLOOKUP(基本入力データシート!N3,基本入力データシート!J3:J227,基本入力データシート!K3:K227),"")</f>
        <v>2200</v>
      </c>
      <c r="K41" s="170">
        <f>+H41*J41</f>
        <v>2200</v>
      </c>
      <c r="L41" s="185" t="s">
        <v>14</v>
      </c>
      <c r="O41" s="270"/>
    </row>
    <row r="42" spans="2:15" s="2" customFormat="1" ht="15" customHeight="1" x14ac:dyDescent="0.15">
      <c r="B42" s="305"/>
      <c r="C42" s="236"/>
      <c r="D42" s="236"/>
      <c r="E42" s="236"/>
      <c r="F42" s="236"/>
      <c r="G42" s="236"/>
      <c r="H42" s="228" t="s">
        <v>21</v>
      </c>
      <c r="I42" s="228"/>
      <c r="J42" s="234"/>
      <c r="K42" s="194">
        <f>SUM(K41:K41)</f>
        <v>2200</v>
      </c>
      <c r="L42" s="305" t="s">
        <v>1</v>
      </c>
    </row>
    <row r="43" spans="2:15" s="2" customFormat="1" ht="15" customHeight="1" thickBot="1" x14ac:dyDescent="0.2">
      <c r="C43" s="2" t="s">
        <v>91</v>
      </c>
      <c r="H43" s="758" t="s">
        <v>2</v>
      </c>
      <c r="I43" s="758"/>
      <c r="J43" s="758"/>
      <c r="K43" s="195">
        <f>K39+K42</f>
        <v>87200</v>
      </c>
      <c r="L43" s="306" t="s">
        <v>1</v>
      </c>
    </row>
    <row r="44" spans="2:15" s="2" customFormat="1" ht="15" customHeight="1" thickTop="1" x14ac:dyDescent="0.15">
      <c r="B44" s="11"/>
      <c r="C44" s="16" t="s">
        <v>19</v>
      </c>
      <c r="I44" s="8"/>
      <c r="J44" s="8"/>
      <c r="K44" s="27"/>
      <c r="L44" s="16"/>
    </row>
    <row r="45" spans="2:15" s="2" customFormat="1" ht="15" customHeight="1" x14ac:dyDescent="0.15">
      <c r="C45" s="16" t="s">
        <v>22</v>
      </c>
    </row>
    <row r="46" spans="2:15" s="2" customFormat="1" ht="15" customHeight="1" x14ac:dyDescent="0.15">
      <c r="C46" s="16" t="s">
        <v>16</v>
      </c>
    </row>
    <row r="47" spans="2:15" s="2" customFormat="1" ht="15" customHeight="1" x14ac:dyDescent="0.15">
      <c r="C47" s="16" t="s">
        <v>20</v>
      </c>
    </row>
    <row r="48" spans="2:15" s="2" customFormat="1" ht="15" customHeight="1" x14ac:dyDescent="0.15">
      <c r="C48" s="16" t="s">
        <v>18</v>
      </c>
    </row>
    <row r="49" spans="2:27" s="2" customFormat="1" ht="15" customHeight="1" x14ac:dyDescent="0.15">
      <c r="C49" s="16"/>
      <c r="D49" s="1"/>
    </row>
    <row r="50" spans="2:27" ht="19.5" customHeight="1" x14ac:dyDescent="0.15">
      <c r="L50" s="30" t="s">
        <v>32</v>
      </c>
      <c r="N50" s="307"/>
      <c r="O50" s="307"/>
    </row>
    <row r="51" spans="2:27" s="392" customFormat="1" ht="19.5" customHeight="1" x14ac:dyDescent="0.15">
      <c r="B51" s="388" t="s">
        <v>29</v>
      </c>
      <c r="C51" s="389"/>
      <c r="D51" s="388"/>
      <c r="E51" s="390"/>
      <c r="F51" s="390"/>
      <c r="G51" s="390"/>
      <c r="H51" s="389"/>
      <c r="I51" s="389"/>
      <c r="J51" s="389"/>
      <c r="K51" s="389"/>
      <c r="L51" s="391" t="str">
        <f>+確認申請料金表データ!A1</f>
        <v>1.確認検査基本手数料(通常料金)</v>
      </c>
      <c r="O51" s="393"/>
      <c r="P51" s="394"/>
      <c r="Q51" s="394"/>
      <c r="R51" s="394"/>
      <c r="S51" s="394"/>
      <c r="T51" s="393"/>
      <c r="U51" s="394"/>
      <c r="V51" s="394"/>
      <c r="W51" s="394"/>
      <c r="X51" s="394"/>
      <c r="Y51" s="394"/>
      <c r="Z51" s="394"/>
      <c r="AA51" s="394"/>
    </row>
    <row r="52" spans="2:27" s="392" customFormat="1" ht="15" customHeight="1" x14ac:dyDescent="0.15">
      <c r="E52" s="395"/>
      <c r="F52" s="395"/>
      <c r="G52" s="395"/>
      <c r="H52" s="395"/>
      <c r="I52" s="395"/>
      <c r="J52" s="762">
        <f ca="1">TODAY()</f>
        <v>45848</v>
      </c>
      <c r="K52" s="762"/>
      <c r="L52" s="395"/>
    </row>
    <row r="53" spans="2:27" s="392" customFormat="1" ht="15" customHeight="1" x14ac:dyDescent="0.15">
      <c r="E53" s="395"/>
      <c r="F53" s="395"/>
      <c r="G53" s="395"/>
      <c r="H53" s="395"/>
      <c r="I53" s="395"/>
      <c r="J53" s="396"/>
      <c r="K53" s="396"/>
      <c r="L53" s="395"/>
    </row>
    <row r="54" spans="2:27" s="392" customFormat="1" ht="15" customHeight="1" x14ac:dyDescent="0.15">
      <c r="C54" s="759" t="str">
        <f>+入力シート!$E$9&amp;"　　"&amp;入力シート!$G$9</f>
        <v>　　御中</v>
      </c>
      <c r="D54" s="759"/>
    </row>
    <row r="55" spans="2:27" s="392" customFormat="1" ht="15" customHeight="1" x14ac:dyDescent="0.15">
      <c r="C55" s="397" t="str">
        <f t="shared" ref="C55:C63" si="12">+IF(C5="","",C5)</f>
        <v/>
      </c>
    </row>
    <row r="56" spans="2:27" s="392" customFormat="1" ht="15" customHeight="1" x14ac:dyDescent="0.15">
      <c r="C56" s="392" t="str">
        <f t="shared" si="12"/>
        <v/>
      </c>
      <c r="H56" s="398" t="str">
        <f>+IF(H6="","",H6)</f>
        <v>〒150-0002  東京都渋谷区渋谷1-13-9</v>
      </c>
      <c r="I56" s="399"/>
    </row>
    <row r="57" spans="2:27" s="392" customFormat="1" ht="15" customHeight="1" x14ac:dyDescent="0.15">
      <c r="B57" s="392" t="str">
        <f t="shared" ref="B57:C72" si="13">+IF(B7="","",B7)</f>
        <v/>
      </c>
      <c r="C57" s="392" t="str">
        <f t="shared" si="12"/>
        <v/>
      </c>
      <c r="E57" s="392" t="str">
        <f t="shared" ref="E57:L72" si="14">+IF(E7="","",E7)</f>
        <v/>
      </c>
      <c r="F57" s="392" t="str">
        <f t="shared" si="14"/>
        <v/>
      </c>
      <c r="G57" s="392" t="str">
        <f t="shared" si="14"/>
        <v/>
      </c>
      <c r="H57" s="392" t="str">
        <f>+IF(H7="","",H7)</f>
        <v>株式会社 J 建築検査センター</v>
      </c>
      <c r="I57" s="400"/>
      <c r="L57" s="401"/>
      <c r="M57" s="401"/>
    </row>
    <row r="58" spans="2:27" s="392" customFormat="1" ht="15" customHeight="1" x14ac:dyDescent="0.15">
      <c r="B58" s="392" t="str">
        <f t="shared" si="13"/>
        <v/>
      </c>
      <c r="C58" s="392" t="str">
        <f t="shared" si="12"/>
        <v/>
      </c>
      <c r="E58" s="392" t="str">
        <f t="shared" si="14"/>
        <v/>
      </c>
      <c r="F58" s="392" t="str">
        <f t="shared" si="14"/>
        <v/>
      </c>
      <c r="G58" s="392" t="str">
        <f t="shared" si="14"/>
        <v/>
      </c>
      <c r="H58" s="398" t="str">
        <f>+IF(H8="","",H8)</f>
        <v>TEL:03-5464-7778　FAX:03-5464-7779</v>
      </c>
      <c r="I58" s="400"/>
      <c r="M58" s="392" t="str">
        <f>+IF(M8="","",M8)</f>
        <v/>
      </c>
    </row>
    <row r="59" spans="2:27" s="392" customFormat="1" ht="15" customHeight="1" x14ac:dyDescent="0.15">
      <c r="B59" s="392" t="str">
        <f t="shared" si="13"/>
        <v/>
      </c>
      <c r="C59" s="402" t="str">
        <f t="shared" si="12"/>
        <v>下記の通り、お見積申し上げます。</v>
      </c>
      <c r="E59" s="392" t="str">
        <f t="shared" si="14"/>
        <v/>
      </c>
      <c r="F59" s="392" t="str">
        <f t="shared" si="14"/>
        <v/>
      </c>
      <c r="G59" s="392" t="str">
        <f t="shared" si="14"/>
        <v/>
      </c>
      <c r="I59" s="400"/>
      <c r="M59" s="392" t="str">
        <f>+IF(M9="","",M9)</f>
        <v/>
      </c>
    </row>
    <row r="60" spans="2:27" s="392" customFormat="1" ht="11.25" customHeight="1" x14ac:dyDescent="0.15">
      <c r="B60" s="392" t="str">
        <f t="shared" si="13"/>
        <v/>
      </c>
      <c r="C60" s="403" t="str">
        <f t="shared" si="12"/>
        <v/>
      </c>
      <c r="D60" s="403"/>
      <c r="E60" s="403" t="str">
        <f t="shared" si="14"/>
        <v/>
      </c>
      <c r="F60" s="403" t="str">
        <f t="shared" si="14"/>
        <v/>
      </c>
      <c r="G60" s="403" t="str">
        <f t="shared" si="14"/>
        <v/>
      </c>
      <c r="H60" s="403"/>
      <c r="I60" s="403"/>
      <c r="J60" s="403"/>
      <c r="K60" s="403"/>
    </row>
    <row r="61" spans="2:27" s="394" customFormat="1" ht="24" customHeight="1" x14ac:dyDescent="0.15">
      <c r="B61" s="394" t="str">
        <f t="shared" si="13"/>
        <v/>
      </c>
      <c r="C61" s="404" t="str">
        <f t="shared" si="12"/>
        <v>件       名</v>
      </c>
      <c r="D61" s="479">
        <f>+IF(D11="","",D11)</f>
        <v>0</v>
      </c>
      <c r="E61" s="480" t="str">
        <f t="shared" si="14"/>
        <v/>
      </c>
      <c r="F61" s="480" t="str">
        <f t="shared" si="14"/>
        <v/>
      </c>
      <c r="G61" s="480" t="str">
        <f t="shared" si="14"/>
        <v/>
      </c>
      <c r="H61" s="480" t="str">
        <f t="shared" si="14"/>
        <v/>
      </c>
      <c r="I61" s="480" t="str">
        <f t="shared" si="14"/>
        <v/>
      </c>
      <c r="J61" s="480" t="str">
        <f t="shared" si="14"/>
        <v/>
      </c>
      <c r="K61" s="480" t="str">
        <f t="shared" si="14"/>
        <v/>
      </c>
      <c r="L61" s="394" t="str">
        <f t="shared" si="14"/>
        <v/>
      </c>
    </row>
    <row r="62" spans="2:27" s="394" customFormat="1" ht="24" customHeight="1" x14ac:dyDescent="0.15">
      <c r="B62" s="394" t="str">
        <f t="shared" si="13"/>
        <v/>
      </c>
      <c r="C62" s="405" t="str">
        <f t="shared" si="12"/>
        <v>総　　　額</v>
      </c>
      <c r="D62" s="406">
        <f>+K93</f>
        <v>87200</v>
      </c>
      <c r="E62" s="407" t="str">
        <f t="shared" si="14"/>
        <v>-</v>
      </c>
      <c r="F62" s="407" t="str">
        <f t="shared" si="14"/>
        <v/>
      </c>
      <c r="G62" s="407" t="str">
        <f t="shared" si="14"/>
        <v/>
      </c>
      <c r="H62" s="407" t="str">
        <f t="shared" si="14"/>
        <v/>
      </c>
      <c r="I62" s="408" t="str">
        <f t="shared" si="14"/>
        <v/>
      </c>
      <c r="J62" s="408" t="str">
        <f t="shared" si="14"/>
        <v/>
      </c>
      <c r="K62" s="408" t="str">
        <f t="shared" si="14"/>
        <v/>
      </c>
      <c r="L62" s="394" t="str">
        <f t="shared" si="14"/>
        <v/>
      </c>
    </row>
    <row r="63" spans="2:27" s="398" customFormat="1" ht="15" customHeight="1" x14ac:dyDescent="0.15">
      <c r="B63" s="409" t="str">
        <f t="shared" si="13"/>
        <v/>
      </c>
      <c r="C63" s="410" t="str">
        <f t="shared" si="12"/>
        <v>御見積書有効期限：</v>
      </c>
      <c r="D63" s="411" t="str">
        <f>+IF(D13="","",D13)</f>
        <v>1ヶ月</v>
      </c>
      <c r="E63" s="412" t="str">
        <f t="shared" si="14"/>
        <v>御支払条件：</v>
      </c>
      <c r="F63" s="410" t="str">
        <f t="shared" si="14"/>
        <v/>
      </c>
      <c r="G63" s="763" t="str">
        <f t="shared" si="14"/>
        <v/>
      </c>
      <c r="H63" s="763" t="str">
        <f t="shared" si="14"/>
        <v/>
      </c>
      <c r="I63" s="763" t="str">
        <f t="shared" si="14"/>
        <v/>
      </c>
      <c r="J63" s="763" t="str">
        <f t="shared" si="14"/>
        <v/>
      </c>
      <c r="K63" s="763" t="str">
        <f t="shared" si="14"/>
        <v/>
      </c>
      <c r="L63" s="398" t="str">
        <f t="shared" si="14"/>
        <v/>
      </c>
      <c r="M63" s="398" t="str">
        <f>+IF(M13="","",M13)</f>
        <v/>
      </c>
      <c r="O63" s="394"/>
    </row>
    <row r="64" spans="2:27" s="398" customFormat="1" ht="15" customHeight="1" x14ac:dyDescent="0.15">
      <c r="B64" s="760" t="str">
        <f t="shared" si="13"/>
        <v>品    名　・　摘    要</v>
      </c>
      <c r="C64" s="760"/>
      <c r="D64" s="760" t="str">
        <f>+IF(D14="","",D14)</f>
        <v/>
      </c>
      <c r="E64" s="760" t="str">
        <f t="shared" si="14"/>
        <v/>
      </c>
      <c r="F64" s="760" t="str">
        <f t="shared" si="14"/>
        <v/>
      </c>
      <c r="G64" s="760" t="str">
        <f t="shared" si="14"/>
        <v/>
      </c>
      <c r="H64" s="413" t="str">
        <f t="shared" si="14"/>
        <v>数  量</v>
      </c>
      <c r="I64" s="414" t="str">
        <f t="shared" si="14"/>
        <v>単位</v>
      </c>
      <c r="J64" s="415" t="str">
        <f t="shared" si="14"/>
        <v>単     価</v>
      </c>
      <c r="K64" s="484" t="str">
        <f t="shared" si="14"/>
        <v>金        額</v>
      </c>
      <c r="L64" s="483" t="str">
        <f t="shared" si="14"/>
        <v/>
      </c>
      <c r="M64" s="398" t="str">
        <f>+IF(M14="","",M14)</f>
        <v/>
      </c>
      <c r="O64" s="394"/>
    </row>
    <row r="65" spans="2:15" s="398" customFormat="1" ht="15" customHeight="1" x14ac:dyDescent="0.15">
      <c r="B65" s="416" t="str">
        <f t="shared" si="13"/>
        <v/>
      </c>
      <c r="C65" s="417" t="str">
        <f t="shared" si="13"/>
        <v>'地名・地番:</v>
      </c>
      <c r="D65" s="485" t="str">
        <f>+IF(D15="","",D15)</f>
        <v>東京都</v>
      </c>
      <c r="E65" s="486" t="str">
        <f t="shared" si="14"/>
        <v/>
      </c>
      <c r="F65" s="486" t="str">
        <f t="shared" si="14"/>
        <v/>
      </c>
      <c r="G65" s="486" t="str">
        <f t="shared" si="14"/>
        <v/>
      </c>
      <c r="H65" s="418" t="e">
        <f>+IF(#REF!="","",#REF!)</f>
        <v>#REF!</v>
      </c>
      <c r="I65" s="418"/>
      <c r="J65" s="419" t="str">
        <f>+IF(H15="","",H15)</f>
        <v>一戸建ての住宅</v>
      </c>
      <c r="K65" s="420" t="str">
        <f t="shared" si="14"/>
        <v/>
      </c>
      <c r="L65" s="420" t="str">
        <f t="shared" si="14"/>
        <v/>
      </c>
      <c r="O65" s="394"/>
    </row>
    <row r="66" spans="2:15" s="398" customFormat="1" ht="15" customHeight="1" x14ac:dyDescent="0.15">
      <c r="B66" s="421" t="str">
        <f>+IF(B19="","",B19)</f>
        <v/>
      </c>
      <c r="C66" s="419" t="str">
        <f t="shared" si="13"/>
        <v>構造・規模:</v>
      </c>
      <c r="D66" s="419" t="str">
        <f>+IF(D16="","",D16)</f>
        <v>木造</v>
      </c>
      <c r="E66" s="419" t="str">
        <f t="shared" si="14"/>
        <v>：地上</v>
      </c>
      <c r="F66" s="419">
        <f t="shared" si="14"/>
        <v>2</v>
      </c>
      <c r="G66" s="419" t="str">
        <f t="shared" si="14"/>
        <v>階、地下</v>
      </c>
      <c r="H66" s="419" t="str">
        <f t="shared" si="14"/>
        <v>-</v>
      </c>
      <c r="I66" s="419" t="str">
        <f t="shared" si="14"/>
        <v>階</v>
      </c>
      <c r="J66" s="419" t="str">
        <f t="shared" si="14"/>
        <v>：延べ面積</v>
      </c>
      <c r="K66" s="419" t="str">
        <f t="shared" si="14"/>
        <v>0-100㎡以内(3号)</v>
      </c>
      <c r="L66" s="422" t="str">
        <f t="shared" si="14"/>
        <v/>
      </c>
      <c r="O66" s="394"/>
    </row>
    <row r="67" spans="2:15" s="398" customFormat="1" ht="15" customHeight="1" x14ac:dyDescent="0.15">
      <c r="B67" s="423" t="str">
        <f t="shared" ref="B67:C82" si="15">+IF(B17="","",B17)</f>
        <v>■</v>
      </c>
      <c r="C67" s="423" t="str">
        <f t="shared" si="13"/>
        <v>確認申請業務【非課税】</v>
      </c>
      <c r="D67" s="423" t="str">
        <f>+IF(D17="","",D17)</f>
        <v/>
      </c>
      <c r="E67" s="423" t="str">
        <f t="shared" si="14"/>
        <v/>
      </c>
      <c r="F67" s="423" t="str">
        <f t="shared" si="14"/>
        <v/>
      </c>
      <c r="G67" s="423" t="str">
        <f t="shared" si="14"/>
        <v/>
      </c>
      <c r="H67" s="423" t="str">
        <f t="shared" si="14"/>
        <v/>
      </c>
      <c r="I67" s="423" t="str">
        <f t="shared" si="14"/>
        <v/>
      </c>
      <c r="J67" s="424"/>
      <c r="K67" s="425"/>
      <c r="L67" s="422" t="str">
        <f t="shared" si="14"/>
        <v/>
      </c>
    </row>
    <row r="68" spans="2:15" s="398" customFormat="1" ht="15" customHeight="1" x14ac:dyDescent="0.15">
      <c r="B68" s="423" t="str">
        <f t="shared" si="15"/>
        <v>・</v>
      </c>
      <c r="C68" s="423" t="str">
        <f t="shared" si="13"/>
        <v>確認申請(計画通知)基本手数料</v>
      </c>
      <c r="D68" s="426"/>
      <c r="E68" s="427"/>
      <c r="F68" s="427"/>
      <c r="G68" s="427"/>
      <c r="H68" s="428">
        <f t="shared" si="14"/>
        <v>1</v>
      </c>
      <c r="I68" s="428" t="str">
        <f t="shared" si="14"/>
        <v>式</v>
      </c>
      <c r="J68" s="424">
        <f>IFERROR(INDEX(確認申請料金表データ!C$4:Q$33,MATCH($K$16,確認申請料金表データ!B$4:B$33,0),MATCH($C68,確認申請料金表データ!C$3:Q$3,0)),"")</f>
        <v>45000</v>
      </c>
      <c r="K68" s="425">
        <f t="shared" ref="K68:K73" si="16">IFERROR(+J68*H68,"")</f>
        <v>45000</v>
      </c>
      <c r="L68" s="422" t="str">
        <f t="shared" si="14"/>
        <v>-</v>
      </c>
    </row>
    <row r="69" spans="2:15" s="398" customFormat="1" ht="15" customHeight="1" x14ac:dyDescent="0.15">
      <c r="B69" s="423" t="str">
        <f t="shared" si="15"/>
        <v/>
      </c>
      <c r="C69" s="423" t="str">
        <f t="shared" si="13"/>
        <v/>
      </c>
      <c r="D69" s="426"/>
      <c r="E69" s="423" t="str">
        <f>+IF(E19="","",E19)</f>
        <v/>
      </c>
      <c r="F69" s="427"/>
      <c r="G69" s="427"/>
      <c r="H69" s="428" t="str">
        <f t="shared" si="14"/>
        <v/>
      </c>
      <c r="I69" s="428" t="str">
        <f t="shared" si="14"/>
        <v/>
      </c>
      <c r="J69" s="424" t="str">
        <f>IFERROR(INDEX(確認申請料金表データ!C$4:Q$33,MATCH(E69,確認申請料金表データ!B$4:B$33,0),MATCH(C69,確認申請料金表データ!C$3:Q$3,0)),"")</f>
        <v/>
      </c>
      <c r="K69" s="425" t="str">
        <f t="shared" si="16"/>
        <v/>
      </c>
      <c r="L69" s="422" t="str">
        <f t="shared" si="14"/>
        <v/>
      </c>
    </row>
    <row r="70" spans="2:15" s="398" customFormat="1" ht="15" customHeight="1" x14ac:dyDescent="0.15">
      <c r="B70" s="423" t="str">
        <f t="shared" si="15"/>
        <v/>
      </c>
      <c r="C70" s="423" t="str">
        <f t="shared" si="13"/>
        <v/>
      </c>
      <c r="D70" s="426"/>
      <c r="E70" s="423" t="str">
        <f>+IF(E20="","",E20)</f>
        <v/>
      </c>
      <c r="F70" s="427"/>
      <c r="G70" s="427"/>
      <c r="H70" s="428" t="str">
        <f t="shared" si="14"/>
        <v/>
      </c>
      <c r="I70" s="428" t="str">
        <f t="shared" si="14"/>
        <v/>
      </c>
      <c r="J70" s="424" t="str">
        <f>IFERROR(INDEX(確認申請料金表データ!C$4:Q$33,MATCH(E70,確認申請料金表データ!B$4:B$33,0),MATCH(C70,確認申請料金表データ!C$3:Q$3,0)),"")</f>
        <v/>
      </c>
      <c r="K70" s="425" t="str">
        <f t="shared" si="16"/>
        <v/>
      </c>
      <c r="L70" s="422" t="str">
        <f t="shared" si="14"/>
        <v/>
      </c>
      <c r="O70" s="429"/>
    </row>
    <row r="71" spans="2:15" s="398" customFormat="1" ht="15" customHeight="1" x14ac:dyDescent="0.15">
      <c r="B71" s="423" t="str">
        <f t="shared" si="15"/>
        <v/>
      </c>
      <c r="C71" s="423" t="str">
        <f t="shared" si="13"/>
        <v/>
      </c>
      <c r="D71" s="426"/>
      <c r="E71" s="423" t="str">
        <f>+IF(E21="","",E21)</f>
        <v/>
      </c>
      <c r="F71" s="427"/>
      <c r="G71" s="427"/>
      <c r="H71" s="428" t="str">
        <f t="shared" si="14"/>
        <v/>
      </c>
      <c r="I71" s="428" t="str">
        <f t="shared" si="14"/>
        <v/>
      </c>
      <c r="J71" s="424" t="str">
        <f>IFERROR(INDEX(確認申請料金表データ!C$4:Q$33,MATCH(E71,確認申請料金表データ!B$4:B$33,0),MATCH(C71,確認申請料金表データ!C$3:Q$3,0)),"")</f>
        <v/>
      </c>
      <c r="K71" s="425" t="str">
        <f t="shared" si="16"/>
        <v/>
      </c>
      <c r="L71" s="422" t="str">
        <f t="shared" si="14"/>
        <v/>
      </c>
      <c r="O71" s="429"/>
    </row>
    <row r="72" spans="2:15" s="398" customFormat="1" ht="15" customHeight="1" x14ac:dyDescent="0.15">
      <c r="B72" s="423" t="str">
        <f t="shared" si="15"/>
        <v>・</v>
      </c>
      <c r="C72" s="423" t="str">
        <f t="shared" si="13"/>
        <v>完了検査(工事完了通知)基本手数料(省エネ適判なし)</v>
      </c>
      <c r="D72" s="426"/>
      <c r="E72" s="427"/>
      <c r="F72" s="427"/>
      <c r="G72" s="427"/>
      <c r="H72" s="428">
        <f t="shared" si="14"/>
        <v>1</v>
      </c>
      <c r="I72" s="428" t="str">
        <f t="shared" si="14"/>
        <v>式</v>
      </c>
      <c r="J72" s="424">
        <f>IFERROR(INDEX(確認申請料金表データ!C$4:Q$33,MATCH($K$16,確認申請料金表データ!B$4:B$33,0),MATCH($C72,確認申請料金表データ!C$3:Q$3,0)),"")</f>
        <v>40000</v>
      </c>
      <c r="K72" s="425">
        <f t="shared" si="16"/>
        <v>40000</v>
      </c>
      <c r="L72" s="422" t="str">
        <f t="shared" si="14"/>
        <v>-</v>
      </c>
    </row>
    <row r="73" spans="2:15" s="398" customFormat="1" ht="15" customHeight="1" x14ac:dyDescent="0.15">
      <c r="B73" s="423" t="str">
        <f t="shared" si="15"/>
        <v/>
      </c>
      <c r="C73" s="423" t="str">
        <f t="shared" si="15"/>
        <v/>
      </c>
      <c r="D73" s="426"/>
      <c r="E73" s="427"/>
      <c r="F73" s="427"/>
      <c r="G73" s="427"/>
      <c r="H73" s="428" t="str">
        <f t="shared" ref="H73:I88" si="17">+IF(H23="","",H23)</f>
        <v/>
      </c>
      <c r="I73" s="428" t="str">
        <f t="shared" si="17"/>
        <v/>
      </c>
      <c r="J73" s="424" t="str">
        <f>IFERROR(INDEX(確認申請料金表データ!C$4:Q$33,MATCH($K$16,確認申請料金表データ!B$4:B$33,0),MATCH($C73,確認申請料金表データ!C$3:Q$3,0)),"")</f>
        <v/>
      </c>
      <c r="K73" s="425" t="str">
        <f t="shared" si="16"/>
        <v/>
      </c>
      <c r="L73" s="422" t="str">
        <f t="shared" ref="L73:L92" si="18">+IF(L23="","",L23)</f>
        <v/>
      </c>
      <c r="M73" s="423" t="str">
        <f>+IF(M23="","",M23)</f>
        <v/>
      </c>
    </row>
    <row r="74" spans="2:15" s="398" customFormat="1" ht="15" customHeight="1" x14ac:dyDescent="0.15">
      <c r="B74" s="423" t="str">
        <f t="shared" si="15"/>
        <v/>
      </c>
      <c r="C74" s="423" t="str">
        <f t="shared" si="15"/>
        <v/>
      </c>
      <c r="D74" s="426"/>
      <c r="E74" s="426"/>
      <c r="F74" s="426"/>
      <c r="G74" s="426"/>
      <c r="H74" s="423" t="str">
        <f t="shared" si="17"/>
        <v/>
      </c>
      <c r="I74" s="423" t="str">
        <f t="shared" si="17"/>
        <v/>
      </c>
      <c r="J74" s="423" t="str">
        <f>+IF(J24="","",J24)</f>
        <v/>
      </c>
      <c r="K74" s="423" t="str">
        <f>+IF(K24="","",K24)</f>
        <v/>
      </c>
      <c r="L74" s="422" t="str">
        <f t="shared" si="18"/>
        <v/>
      </c>
      <c r="M74" s="423" t="str">
        <f>+IF(M24="","",M24)</f>
        <v/>
      </c>
    </row>
    <row r="75" spans="2:15" s="398" customFormat="1" ht="15" customHeight="1" x14ac:dyDescent="0.15">
      <c r="B75" s="423" t="str">
        <f t="shared" si="15"/>
        <v>□</v>
      </c>
      <c r="C75" s="423" t="str">
        <f t="shared" si="15"/>
        <v>加算手数料</v>
      </c>
      <c r="D75" s="426"/>
      <c r="E75" s="426"/>
      <c r="F75" s="426"/>
      <c r="G75" s="426"/>
      <c r="H75" s="428" t="str">
        <f t="shared" si="17"/>
        <v/>
      </c>
      <c r="I75" s="428" t="str">
        <f t="shared" si="17"/>
        <v/>
      </c>
      <c r="J75" s="424"/>
      <c r="K75" s="425"/>
      <c r="L75" s="422" t="str">
        <f t="shared" si="18"/>
        <v/>
      </c>
    </row>
    <row r="76" spans="2:15" s="398" customFormat="1" ht="15" customHeight="1" x14ac:dyDescent="0.15">
      <c r="B76" s="423" t="str">
        <f t="shared" si="15"/>
        <v/>
      </c>
      <c r="C76" s="423" t="str">
        <f t="shared" si="15"/>
        <v/>
      </c>
      <c r="D76" s="426"/>
      <c r="E76" s="426"/>
      <c r="F76" s="426"/>
      <c r="G76" s="426"/>
      <c r="H76" s="428" t="str">
        <f t="shared" si="17"/>
        <v/>
      </c>
      <c r="I76" s="428" t="str">
        <f t="shared" si="17"/>
        <v/>
      </c>
      <c r="J76" s="424" t="str">
        <f>IFERROR(INDEX(確認申請料金表データ!X$4:AN$33,MATCH($K$16,確認申請料金表データ!B$4:B$33,0),MATCH(C76,確認申請料金表データ!X$3:AN$3,0)),"")</f>
        <v/>
      </c>
      <c r="K76" s="425" t="str">
        <f>IFERROR(+J76*H76,"")</f>
        <v/>
      </c>
      <c r="L76" s="422" t="str">
        <f t="shared" si="18"/>
        <v/>
      </c>
    </row>
    <row r="77" spans="2:15" s="398" customFormat="1" ht="15" customHeight="1" x14ac:dyDescent="0.15">
      <c r="B77" s="423" t="str">
        <f t="shared" si="15"/>
        <v/>
      </c>
      <c r="C77" s="423" t="str">
        <f t="shared" si="15"/>
        <v/>
      </c>
      <c r="D77" s="423"/>
      <c r="E77" s="423"/>
      <c r="F77" s="423"/>
      <c r="G77" s="423"/>
      <c r="H77" s="428" t="str">
        <f t="shared" si="17"/>
        <v/>
      </c>
      <c r="I77" s="428" t="str">
        <f t="shared" si="17"/>
        <v/>
      </c>
      <c r="J77" s="424" t="str">
        <f>IFERROR(INDEX(確認申請料金表データ!X$4:AN$33,MATCH($K$16,確認申請料金表データ!B$4:B$33,0),MATCH(C77,確認申請料金表データ!X$3:AN$3,0)),"")</f>
        <v/>
      </c>
      <c r="K77" s="425" t="str">
        <f t="shared" ref="K77:K80" si="19">IFERROR(+J77*H77,"")</f>
        <v/>
      </c>
      <c r="L77" s="422" t="str">
        <f t="shared" si="18"/>
        <v/>
      </c>
      <c r="O77" s="430"/>
    </row>
    <row r="78" spans="2:15" s="398" customFormat="1" ht="15" customHeight="1" x14ac:dyDescent="0.15">
      <c r="B78" s="423" t="str">
        <f t="shared" si="15"/>
        <v/>
      </c>
      <c r="C78" s="423" t="str">
        <f t="shared" si="15"/>
        <v/>
      </c>
      <c r="D78" s="423"/>
      <c r="E78" s="423"/>
      <c r="F78" s="423"/>
      <c r="G78" s="423"/>
      <c r="H78" s="428" t="str">
        <f t="shared" si="17"/>
        <v/>
      </c>
      <c r="I78" s="428" t="str">
        <f t="shared" si="17"/>
        <v/>
      </c>
      <c r="J78" s="424" t="str">
        <f>IFERROR(INDEX(確認申請料金表データ!X$4:AN$33,MATCH($K$16,確認申請料金表データ!B$4:B$33,0),MATCH(C78,確認申請料金表データ!X$3:AN$3,0)),"")</f>
        <v/>
      </c>
      <c r="K78" s="425" t="str">
        <f t="shared" si="19"/>
        <v/>
      </c>
      <c r="L78" s="422" t="str">
        <f t="shared" si="18"/>
        <v/>
      </c>
    </row>
    <row r="79" spans="2:15" s="398" customFormat="1" ht="15" customHeight="1" x14ac:dyDescent="0.15">
      <c r="B79" s="423" t="str">
        <f t="shared" si="15"/>
        <v/>
      </c>
      <c r="C79" s="423" t="str">
        <f t="shared" si="15"/>
        <v/>
      </c>
      <c r="D79" s="423"/>
      <c r="E79" s="423"/>
      <c r="F79" s="423"/>
      <c r="G79" s="423"/>
      <c r="H79" s="428" t="str">
        <f t="shared" si="17"/>
        <v/>
      </c>
      <c r="I79" s="428" t="str">
        <f t="shared" si="17"/>
        <v/>
      </c>
      <c r="J79" s="424" t="str">
        <f>IFERROR(INDEX(確認申請料金表データ!X$4:AN$33,MATCH($K$16,確認申請料金表データ!B$4:B$33,0),MATCH(C79,確認申請料金表データ!X$3:AN$3,0)),"")</f>
        <v/>
      </c>
      <c r="K79" s="425" t="str">
        <f t="shared" si="19"/>
        <v/>
      </c>
      <c r="L79" s="422" t="str">
        <f t="shared" si="18"/>
        <v/>
      </c>
    </row>
    <row r="80" spans="2:15" s="398" customFormat="1" ht="15" customHeight="1" x14ac:dyDescent="0.15">
      <c r="B80" s="423" t="str">
        <f t="shared" si="15"/>
        <v/>
      </c>
      <c r="C80" s="423" t="str">
        <f t="shared" si="15"/>
        <v/>
      </c>
      <c r="D80" s="423"/>
      <c r="E80" s="423"/>
      <c r="F80" s="423"/>
      <c r="G80" s="423"/>
      <c r="H80" s="428" t="str">
        <f t="shared" si="17"/>
        <v/>
      </c>
      <c r="I80" s="428" t="str">
        <f t="shared" si="17"/>
        <v/>
      </c>
      <c r="J80" s="424" t="str">
        <f>IFERROR(INDEX(確認申請料金表データ!X$4:AN$33,MATCH($K$16,確認申請料金表データ!B$4:B$33,0),MATCH(C80,確認申請料金表データ!X$3:AN$3,0)),"")</f>
        <v/>
      </c>
      <c r="K80" s="425" t="str">
        <f t="shared" si="19"/>
        <v/>
      </c>
      <c r="L80" s="422" t="str">
        <f t="shared" si="18"/>
        <v/>
      </c>
    </row>
    <row r="81" spans="2:15" s="398" customFormat="1" ht="15" customHeight="1" x14ac:dyDescent="0.15">
      <c r="B81" s="423" t="str">
        <f t="shared" si="15"/>
        <v/>
      </c>
      <c r="C81" s="423" t="str">
        <f t="shared" si="15"/>
        <v/>
      </c>
      <c r="D81" s="423"/>
      <c r="E81" s="423"/>
      <c r="F81" s="423"/>
      <c r="G81" s="423"/>
      <c r="H81" s="428" t="str">
        <f t="shared" si="17"/>
        <v/>
      </c>
      <c r="I81" s="428" t="str">
        <f t="shared" si="17"/>
        <v/>
      </c>
      <c r="J81" s="424" t="str">
        <f>IFERROR(INDEX(確認申請料金表データ!X$4:AN$33,MATCH($K$16,確認申請料金表データ!B$4:B$33,0),MATCH(C81,確認申請料金表データ!X$3:AN$3,0)),"")</f>
        <v/>
      </c>
      <c r="K81" s="425" t="str">
        <f>IFERROR(+J81*H81,"")</f>
        <v/>
      </c>
      <c r="L81" s="422" t="str">
        <f t="shared" si="18"/>
        <v/>
      </c>
    </row>
    <row r="82" spans="2:15" s="398" customFormat="1" ht="15" customHeight="1" x14ac:dyDescent="0.15">
      <c r="B82" s="423" t="str">
        <f t="shared" si="15"/>
        <v/>
      </c>
      <c r="C82" s="423" t="str">
        <f t="shared" si="15"/>
        <v/>
      </c>
      <c r="D82" s="423"/>
      <c r="E82" s="423"/>
      <c r="F82" s="423"/>
      <c r="G82" s="423"/>
      <c r="H82" s="428" t="str">
        <f t="shared" si="17"/>
        <v/>
      </c>
      <c r="I82" s="428" t="str">
        <f t="shared" si="17"/>
        <v/>
      </c>
      <c r="J82" s="424" t="str">
        <f>IFERROR(INDEX(確認申請料金表データ!X$4:AN$33,MATCH($K$16,確認申請料金表データ!B$4:B$33,0),MATCH(C82,確認申請料金表データ!X$3:AN$3,0)),"")</f>
        <v/>
      </c>
      <c r="K82" s="425" t="str">
        <f>IFERROR(+J82*H82,"")</f>
        <v/>
      </c>
      <c r="L82" s="422" t="str">
        <f t="shared" si="18"/>
        <v/>
      </c>
    </row>
    <row r="83" spans="2:15" s="398" customFormat="1" ht="15" customHeight="1" x14ac:dyDescent="0.15">
      <c r="B83" s="423" t="str">
        <f t="shared" ref="B83:K92" si="20">+IF(B33="","",B33)</f>
        <v/>
      </c>
      <c r="C83" s="423" t="str">
        <f t="shared" si="20"/>
        <v/>
      </c>
      <c r="D83" s="423"/>
      <c r="E83" s="423"/>
      <c r="F83" s="423"/>
      <c r="G83" s="423"/>
      <c r="H83" s="428" t="str">
        <f t="shared" si="17"/>
        <v/>
      </c>
      <c r="I83" s="428" t="str">
        <f t="shared" si="17"/>
        <v/>
      </c>
      <c r="J83" s="424" t="str">
        <f>IFERROR(INDEX(確認申請料金表データ!X$4:AN$33,MATCH($K$16,確認申請料金表データ!B$4:B$33,0),MATCH(C83,確認申請料金表データ!X$3:AN$3,0)),"")</f>
        <v/>
      </c>
      <c r="K83" s="425" t="str">
        <f t="shared" ref="K83" si="21">IFERROR(+J83*H83,"")</f>
        <v/>
      </c>
      <c r="L83" s="422" t="str">
        <f t="shared" si="18"/>
        <v/>
      </c>
    </row>
    <row r="84" spans="2:15" s="398" customFormat="1" ht="15" customHeight="1" x14ac:dyDescent="0.15">
      <c r="B84" s="423" t="str">
        <f t="shared" si="20"/>
        <v/>
      </c>
      <c r="C84" s="423" t="str">
        <f t="shared" si="20"/>
        <v/>
      </c>
      <c r="D84" s="423" t="str">
        <f>+IF(D34="","",D34)</f>
        <v/>
      </c>
      <c r="E84" s="423" t="str">
        <f>+IF(E34="","",E34)</f>
        <v/>
      </c>
      <c r="F84" s="423" t="str">
        <f>+IF(F34="","",F34)</f>
        <v/>
      </c>
      <c r="G84" s="423" t="str">
        <f>+IF(G34="","",G34)</f>
        <v/>
      </c>
      <c r="H84" s="423" t="str">
        <f t="shared" si="17"/>
        <v/>
      </c>
      <c r="I84" s="423" t="str">
        <f t="shared" si="17"/>
        <v/>
      </c>
      <c r="J84" s="423" t="str">
        <f>+IF(J34="","",J34)</f>
        <v/>
      </c>
      <c r="K84" s="423" t="str">
        <f>+IF(K34="","",K34)</f>
        <v/>
      </c>
      <c r="L84" s="422" t="str">
        <f t="shared" si="18"/>
        <v/>
      </c>
      <c r="O84" s="429"/>
    </row>
    <row r="85" spans="2:15" s="398" customFormat="1" ht="15" customHeight="1" x14ac:dyDescent="0.15">
      <c r="B85" s="423" t="str">
        <f t="shared" si="20"/>
        <v>□</v>
      </c>
      <c r="C85" s="423" t="str">
        <f t="shared" si="20"/>
        <v>省エネ基準省令に基づく基準による審査(仕様基準)</v>
      </c>
      <c r="D85" s="426"/>
      <c r="E85" s="426"/>
      <c r="F85" s="426"/>
      <c r="G85" s="426"/>
      <c r="H85" s="428" t="str">
        <f t="shared" si="17"/>
        <v/>
      </c>
      <c r="I85" s="428" t="str">
        <f t="shared" si="17"/>
        <v/>
      </c>
      <c r="J85" s="424"/>
      <c r="K85" s="425"/>
      <c r="L85" s="422" t="str">
        <f t="shared" si="18"/>
        <v/>
      </c>
    </row>
    <row r="86" spans="2:15" s="398" customFormat="1" ht="15" customHeight="1" x14ac:dyDescent="0.15">
      <c r="B86" s="423" t="str">
        <f t="shared" si="20"/>
        <v/>
      </c>
      <c r="C86" s="423" t="str">
        <f t="shared" si="20"/>
        <v/>
      </c>
      <c r="D86" s="426"/>
      <c r="E86" s="426"/>
      <c r="F86" s="426"/>
      <c r="G86" s="426"/>
      <c r="H86" s="428" t="str">
        <f t="shared" si="17"/>
        <v/>
      </c>
      <c r="I86" s="428" t="str">
        <f t="shared" si="17"/>
        <v/>
      </c>
      <c r="J86" s="424" t="str">
        <f>IFERROR(INDEX(確認申請料金表データ!S$4:V$33,MATCH($K$16,確認申請料金表データ!B$4:B$33,0),MATCH($C86,確認申請料金表データ!S$3:V$3,0)),"")</f>
        <v/>
      </c>
      <c r="K86" s="425" t="str">
        <f t="shared" ref="K86:K87" si="22">IFERROR(+J86*H86,"")</f>
        <v/>
      </c>
      <c r="L86" s="422" t="str">
        <f t="shared" si="18"/>
        <v/>
      </c>
    </row>
    <row r="87" spans="2:15" s="398" customFormat="1" ht="15" customHeight="1" x14ac:dyDescent="0.15">
      <c r="B87" s="423" t="str">
        <f t="shared" si="20"/>
        <v/>
      </c>
      <c r="C87" s="423" t="str">
        <f t="shared" si="20"/>
        <v/>
      </c>
      <c r="D87" s="426"/>
      <c r="E87" s="426"/>
      <c r="F87" s="426"/>
      <c r="G87" s="426"/>
      <c r="H87" s="428" t="str">
        <f t="shared" si="17"/>
        <v/>
      </c>
      <c r="I87" s="428" t="str">
        <f t="shared" si="17"/>
        <v/>
      </c>
      <c r="J87" s="424" t="str">
        <f>IFERROR(INDEX(確認申請料金表データ!S$4:V$33,MATCH($K$16,確認申請料金表データ!B$4:B$33,0),MATCH($C87,確認申請料金表データ!S$3:V$3,0)),"")</f>
        <v/>
      </c>
      <c r="K87" s="425" t="str">
        <f t="shared" si="22"/>
        <v/>
      </c>
      <c r="L87" s="422" t="str">
        <f t="shared" si="18"/>
        <v/>
      </c>
    </row>
    <row r="88" spans="2:15" s="398" customFormat="1" ht="15" customHeight="1" x14ac:dyDescent="0.15">
      <c r="B88" s="423" t="str">
        <f t="shared" si="20"/>
        <v/>
      </c>
      <c r="C88" s="423" t="str">
        <f t="shared" si="20"/>
        <v/>
      </c>
      <c r="D88" s="426"/>
      <c r="E88" s="426"/>
      <c r="F88" s="426"/>
      <c r="G88" s="426"/>
      <c r="H88" s="422" t="str">
        <f t="shared" si="17"/>
        <v/>
      </c>
      <c r="I88" s="422" t="str">
        <f t="shared" si="17"/>
        <v/>
      </c>
      <c r="J88" s="422" t="str">
        <f>+IF(J38="","",J38)</f>
        <v/>
      </c>
      <c r="K88" s="422" t="str">
        <f>+IF(K38="","",K38)</f>
        <v/>
      </c>
      <c r="L88" s="422" t="str">
        <f t="shared" si="18"/>
        <v/>
      </c>
    </row>
    <row r="89" spans="2:15" s="398" customFormat="1" ht="15" customHeight="1" x14ac:dyDescent="0.15">
      <c r="B89" s="423" t="str">
        <f t="shared" si="20"/>
        <v/>
      </c>
      <c r="C89" s="423" t="str">
        <f t="shared" si="20"/>
        <v/>
      </c>
      <c r="D89" s="431"/>
      <c r="E89" s="431"/>
      <c r="F89" s="431"/>
      <c r="G89" s="431"/>
      <c r="H89" s="432" t="s">
        <v>21</v>
      </c>
      <c r="I89" s="433"/>
      <c r="J89" s="433"/>
      <c r="K89" s="434">
        <f>SUM(K68:K87)</f>
        <v>85000</v>
      </c>
      <c r="L89" s="422" t="str">
        <f t="shared" si="18"/>
        <v>-</v>
      </c>
    </row>
    <row r="90" spans="2:15" s="398" customFormat="1" ht="15" customHeight="1" x14ac:dyDescent="0.15">
      <c r="B90" s="435" t="str">
        <f t="shared" si="20"/>
        <v>□</v>
      </c>
      <c r="C90" s="436" t="str">
        <f t="shared" si="20"/>
        <v>出張費及び交通費（当機関規定による）【課税対象、消費税込み】</v>
      </c>
      <c r="D90" s="437" t="str">
        <f t="shared" si="20"/>
        <v/>
      </c>
      <c r="E90" s="437" t="str">
        <f t="shared" si="20"/>
        <v/>
      </c>
      <c r="F90" s="437" t="str">
        <f t="shared" si="20"/>
        <v/>
      </c>
      <c r="G90" s="437" t="str">
        <f t="shared" si="20"/>
        <v/>
      </c>
      <c r="H90" s="438" t="str">
        <f t="shared" si="20"/>
        <v/>
      </c>
      <c r="I90" s="435" t="str">
        <f t="shared" si="20"/>
        <v/>
      </c>
      <c r="J90" s="439" t="str">
        <f t="shared" si="20"/>
        <v/>
      </c>
      <c r="K90" s="439" t="str">
        <f t="shared" si="20"/>
        <v/>
      </c>
      <c r="L90" s="435" t="str">
        <f t="shared" si="18"/>
        <v/>
      </c>
      <c r="M90" s="398" t="str">
        <f>+IF(M40="","",M40)</f>
        <v/>
      </c>
      <c r="N90" s="398" t="str">
        <f>+IF(N40="","",N40)</f>
        <v/>
      </c>
    </row>
    <row r="91" spans="2:15" s="398" customFormat="1" ht="15" customHeight="1" x14ac:dyDescent="0.15">
      <c r="B91" s="440" t="str">
        <f t="shared" si="20"/>
        <v/>
      </c>
      <c r="C91" s="440" t="str">
        <f t="shared" si="20"/>
        <v>出張交通費</v>
      </c>
      <c r="D91" s="441" t="str">
        <f t="shared" si="20"/>
        <v>東京都</v>
      </c>
      <c r="E91" s="426" t="str">
        <f t="shared" si="20"/>
        <v/>
      </c>
      <c r="F91" s="426" t="str">
        <f t="shared" si="20"/>
        <v/>
      </c>
      <c r="G91" s="442" t="str">
        <f t="shared" si="20"/>
        <v/>
      </c>
      <c r="H91" s="443">
        <f t="shared" si="20"/>
        <v>1</v>
      </c>
      <c r="I91" s="428" t="str">
        <f t="shared" si="20"/>
        <v>回</v>
      </c>
      <c r="J91" s="444">
        <f t="shared" si="20"/>
        <v>2200</v>
      </c>
      <c r="K91" s="425">
        <f t="shared" si="20"/>
        <v>2200</v>
      </c>
      <c r="L91" s="445" t="str">
        <f t="shared" si="18"/>
        <v>-</v>
      </c>
      <c r="M91" s="398" t="str">
        <f>+IF(M41="","",M41)</f>
        <v/>
      </c>
      <c r="O91" s="429"/>
    </row>
    <row r="92" spans="2:15" s="398" customFormat="1" ht="15" customHeight="1" x14ac:dyDescent="0.15">
      <c r="B92" s="446" t="str">
        <f t="shared" si="20"/>
        <v/>
      </c>
      <c r="C92" s="447" t="str">
        <f t="shared" si="20"/>
        <v/>
      </c>
      <c r="D92" s="447" t="str">
        <f>+IF(D42="","",D42)</f>
        <v/>
      </c>
      <c r="E92" s="447" t="str">
        <f>+IF(E42="","",E42)</f>
        <v/>
      </c>
      <c r="F92" s="447" t="str">
        <f>+IF(F42="","",F42)</f>
        <v/>
      </c>
      <c r="G92" s="447" t="str">
        <f>+IF(G42="","",G42)</f>
        <v/>
      </c>
      <c r="H92" s="448" t="str">
        <f>+IF(H42="","",H42)</f>
        <v>合     計</v>
      </c>
      <c r="I92" s="448"/>
      <c r="J92" s="449"/>
      <c r="K92" s="450">
        <f>+IF(K42="","",K42)</f>
        <v>2200</v>
      </c>
      <c r="L92" s="446" t="str">
        <f t="shared" si="18"/>
        <v>-</v>
      </c>
      <c r="M92" s="398" t="str">
        <f>+IF(M42="","",M42)</f>
        <v/>
      </c>
      <c r="N92" s="398" t="str">
        <f>+IF(N42="","",N42)</f>
        <v/>
      </c>
    </row>
    <row r="93" spans="2:15" s="398" customFormat="1" ht="15" customHeight="1" thickBot="1" x14ac:dyDescent="0.2">
      <c r="C93" s="412" t="s">
        <v>91</v>
      </c>
      <c r="H93" s="451" t="s">
        <v>2</v>
      </c>
      <c r="I93" s="451"/>
      <c r="J93" s="451"/>
      <c r="K93" s="452">
        <f>K89+K92</f>
        <v>87200</v>
      </c>
      <c r="L93" s="453" t="s">
        <v>1</v>
      </c>
    </row>
    <row r="94" spans="2:15" s="398" customFormat="1" ht="15" customHeight="1" thickTop="1" x14ac:dyDescent="0.15">
      <c r="B94" s="409"/>
      <c r="C94" s="412" t="s">
        <v>19</v>
      </c>
      <c r="I94" s="454"/>
      <c r="J94" s="454"/>
      <c r="K94" s="455"/>
      <c r="L94" s="412"/>
    </row>
    <row r="95" spans="2:15" s="398" customFormat="1" ht="15" customHeight="1" x14ac:dyDescent="0.15">
      <c r="C95" s="412" t="s">
        <v>22</v>
      </c>
    </row>
    <row r="96" spans="2:15" s="398" customFormat="1" ht="15" customHeight="1" x14ac:dyDescent="0.15">
      <c r="C96" s="412" t="s">
        <v>16</v>
      </c>
    </row>
    <row r="97" spans="2:27" s="398" customFormat="1" ht="15" customHeight="1" x14ac:dyDescent="0.15">
      <c r="C97" s="412" t="s">
        <v>20</v>
      </c>
    </row>
    <row r="98" spans="2:27" s="398" customFormat="1" ht="15" customHeight="1" x14ac:dyDescent="0.15">
      <c r="C98" s="412" t="s">
        <v>18</v>
      </c>
    </row>
    <row r="99" spans="2:27" s="392" customFormat="1" ht="15" customHeight="1" x14ac:dyDescent="0.15">
      <c r="C99" s="398"/>
      <c r="K99" s="456"/>
      <c r="O99" s="398"/>
    </row>
    <row r="100" spans="2:27" s="392" customFormat="1" ht="16.5" customHeight="1" x14ac:dyDescent="0.15">
      <c r="L100" s="456" t="s">
        <v>32</v>
      </c>
    </row>
    <row r="101" spans="2:27" s="392" customFormat="1" ht="19.5" customHeight="1" x14ac:dyDescent="0.15">
      <c r="B101" s="388" t="s">
        <v>29</v>
      </c>
      <c r="C101" s="389"/>
      <c r="D101" s="388"/>
      <c r="E101" s="390"/>
      <c r="F101" s="390"/>
      <c r="G101" s="390"/>
      <c r="H101" s="389"/>
      <c r="I101" s="389"/>
      <c r="J101" s="389"/>
      <c r="K101" s="389"/>
      <c r="L101" s="391" t="str">
        <f>+確認申請料金表データ!A107</f>
        <v>2.特約　確認および検査手数料10％off（加算手数料は通常通り）</v>
      </c>
      <c r="O101" s="393"/>
      <c r="P101" s="394"/>
      <c r="Q101" s="394"/>
      <c r="R101" s="394"/>
      <c r="S101" s="394"/>
      <c r="T101" s="393"/>
      <c r="U101" s="394"/>
      <c r="V101" s="394"/>
      <c r="W101" s="394"/>
      <c r="X101" s="394"/>
      <c r="Y101" s="394"/>
      <c r="Z101" s="394"/>
      <c r="AA101" s="394"/>
    </row>
    <row r="102" spans="2:27" s="392" customFormat="1" ht="15" customHeight="1" x14ac:dyDescent="0.15">
      <c r="E102" s="395"/>
      <c r="F102" s="395"/>
      <c r="G102" s="395"/>
      <c r="H102" s="395"/>
      <c r="I102" s="395"/>
      <c r="J102" s="762">
        <f ca="1">TODAY()</f>
        <v>45848</v>
      </c>
      <c r="K102" s="762"/>
      <c r="L102" s="395"/>
    </row>
    <row r="103" spans="2:27" s="392" customFormat="1" ht="15" customHeight="1" x14ac:dyDescent="0.15">
      <c r="E103" s="395"/>
      <c r="F103" s="395"/>
      <c r="G103" s="395"/>
      <c r="H103" s="395"/>
      <c r="I103" s="395"/>
      <c r="J103" s="396"/>
      <c r="K103" s="396"/>
      <c r="L103" s="395"/>
    </row>
    <row r="104" spans="2:27" s="392" customFormat="1" ht="15" customHeight="1" x14ac:dyDescent="0.15">
      <c r="C104" s="759" t="str">
        <f>+入力シート!$E$9&amp;"　　"&amp;入力シート!$G$9</f>
        <v>　　御中</v>
      </c>
      <c r="D104" s="759"/>
    </row>
    <row r="105" spans="2:27" s="392" customFormat="1" ht="15" customHeight="1" x14ac:dyDescent="0.15">
      <c r="C105" s="397" t="str">
        <f t="shared" ref="C105:C113" si="23">+IF(C55="","",C55)</f>
        <v/>
      </c>
    </row>
    <row r="106" spans="2:27" s="392" customFormat="1" ht="15" customHeight="1" x14ac:dyDescent="0.15">
      <c r="C106" s="392" t="str">
        <f t="shared" si="23"/>
        <v/>
      </c>
      <c r="H106" s="398" t="str">
        <f>+IF(H56="","",H56)</f>
        <v>〒150-0002  東京都渋谷区渋谷1-13-9</v>
      </c>
      <c r="I106" s="399"/>
    </row>
    <row r="107" spans="2:27" s="392" customFormat="1" ht="15" customHeight="1" x14ac:dyDescent="0.15">
      <c r="B107" s="392" t="str">
        <f t="shared" ref="B107:C122" si="24">+IF(B57="","",B57)</f>
        <v/>
      </c>
      <c r="C107" s="392" t="str">
        <f t="shared" si="23"/>
        <v/>
      </c>
      <c r="E107" s="392" t="str">
        <f t="shared" ref="E107:L122" si="25">+IF(E57="","",E57)</f>
        <v/>
      </c>
      <c r="F107" s="392" t="str">
        <f t="shared" si="25"/>
        <v/>
      </c>
      <c r="G107" s="392" t="str">
        <f t="shared" si="25"/>
        <v/>
      </c>
      <c r="H107" s="392" t="str">
        <f>+IF(H57="","",H57)</f>
        <v>株式会社 J 建築検査センター</v>
      </c>
      <c r="I107" s="400"/>
      <c r="L107" s="401"/>
      <c r="M107" s="401"/>
    </row>
    <row r="108" spans="2:27" s="392" customFormat="1" ht="15" customHeight="1" x14ac:dyDescent="0.15">
      <c r="B108" s="392" t="str">
        <f t="shared" si="24"/>
        <v/>
      </c>
      <c r="C108" s="392" t="str">
        <f t="shared" si="23"/>
        <v/>
      </c>
      <c r="E108" s="392" t="str">
        <f t="shared" si="25"/>
        <v/>
      </c>
      <c r="F108" s="392" t="str">
        <f t="shared" si="25"/>
        <v/>
      </c>
      <c r="G108" s="392" t="str">
        <f t="shared" si="25"/>
        <v/>
      </c>
      <c r="H108" s="398" t="str">
        <f>+IF(H58="","",H58)</f>
        <v>TEL:03-5464-7778　FAX:03-5464-7779</v>
      </c>
      <c r="I108" s="400"/>
      <c r="M108" s="392" t="str">
        <f>+IF(M58="","",M58)</f>
        <v/>
      </c>
    </row>
    <row r="109" spans="2:27" s="392" customFormat="1" ht="15" customHeight="1" x14ac:dyDescent="0.15">
      <c r="B109" s="392" t="str">
        <f t="shared" si="24"/>
        <v/>
      </c>
      <c r="C109" s="402" t="str">
        <f t="shared" si="23"/>
        <v>下記の通り、お見積申し上げます。</v>
      </c>
      <c r="E109" s="392" t="str">
        <f t="shared" si="25"/>
        <v/>
      </c>
      <c r="F109" s="392" t="str">
        <f t="shared" si="25"/>
        <v/>
      </c>
      <c r="G109" s="392" t="str">
        <f t="shared" si="25"/>
        <v/>
      </c>
      <c r="I109" s="400"/>
      <c r="M109" s="392" t="str">
        <f>+IF(M59="","",M59)</f>
        <v/>
      </c>
    </row>
    <row r="110" spans="2:27" s="392" customFormat="1" ht="11.25" customHeight="1" x14ac:dyDescent="0.15">
      <c r="B110" s="392" t="str">
        <f t="shared" si="24"/>
        <v/>
      </c>
      <c r="C110" s="403" t="str">
        <f t="shared" si="23"/>
        <v/>
      </c>
      <c r="D110" s="403"/>
      <c r="E110" s="403" t="str">
        <f t="shared" si="25"/>
        <v/>
      </c>
      <c r="F110" s="403" t="str">
        <f t="shared" si="25"/>
        <v/>
      </c>
      <c r="G110" s="403" t="str">
        <f t="shared" si="25"/>
        <v/>
      </c>
      <c r="H110" s="403"/>
      <c r="I110" s="403"/>
      <c r="J110" s="403"/>
      <c r="K110" s="403"/>
    </row>
    <row r="111" spans="2:27" s="394" customFormat="1" ht="24" customHeight="1" x14ac:dyDescent="0.15">
      <c r="B111" s="394" t="str">
        <f t="shared" si="24"/>
        <v/>
      </c>
      <c r="C111" s="404" t="str">
        <f t="shared" si="23"/>
        <v>件       名</v>
      </c>
      <c r="D111" s="764">
        <f>+IF(D61="","",D61)</f>
        <v>0</v>
      </c>
      <c r="E111" s="765" t="str">
        <f t="shared" si="25"/>
        <v/>
      </c>
      <c r="F111" s="765" t="str">
        <f t="shared" si="25"/>
        <v/>
      </c>
      <c r="G111" s="765" t="str">
        <f t="shared" si="25"/>
        <v/>
      </c>
      <c r="H111" s="765" t="str">
        <f t="shared" si="25"/>
        <v/>
      </c>
      <c r="I111" s="765" t="str">
        <f t="shared" si="25"/>
        <v/>
      </c>
      <c r="J111" s="765" t="str">
        <f t="shared" si="25"/>
        <v/>
      </c>
      <c r="K111" s="765" t="str">
        <f t="shared" si="25"/>
        <v/>
      </c>
      <c r="L111" s="394" t="str">
        <f t="shared" si="25"/>
        <v/>
      </c>
    </row>
    <row r="112" spans="2:27" s="394" customFormat="1" ht="24" customHeight="1" x14ac:dyDescent="0.15">
      <c r="B112" s="394" t="str">
        <f t="shared" si="24"/>
        <v/>
      </c>
      <c r="C112" s="405" t="str">
        <f t="shared" si="23"/>
        <v>総　　　額</v>
      </c>
      <c r="D112" s="406">
        <f>+K143</f>
        <v>78700</v>
      </c>
      <c r="E112" s="407" t="str">
        <f t="shared" si="25"/>
        <v>-</v>
      </c>
      <c r="F112" s="407" t="str">
        <f t="shared" si="25"/>
        <v/>
      </c>
      <c r="G112" s="407" t="str">
        <f t="shared" si="25"/>
        <v/>
      </c>
      <c r="H112" s="407" t="str">
        <f t="shared" si="25"/>
        <v/>
      </c>
      <c r="I112" s="408" t="str">
        <f t="shared" si="25"/>
        <v/>
      </c>
      <c r="J112" s="408" t="str">
        <f t="shared" si="25"/>
        <v/>
      </c>
      <c r="K112" s="408" t="str">
        <f t="shared" si="25"/>
        <v/>
      </c>
      <c r="L112" s="394" t="str">
        <f t="shared" si="25"/>
        <v/>
      </c>
    </row>
    <row r="113" spans="2:15" s="398" customFormat="1" ht="15" customHeight="1" x14ac:dyDescent="0.15">
      <c r="B113" s="409" t="str">
        <f t="shared" si="24"/>
        <v/>
      </c>
      <c r="C113" s="410" t="str">
        <f t="shared" si="23"/>
        <v>御見積書有効期限：</v>
      </c>
      <c r="D113" s="411" t="str">
        <f>+IF(D63="","",D63)</f>
        <v>1ヶ月</v>
      </c>
      <c r="E113" s="412" t="str">
        <f t="shared" si="25"/>
        <v>御支払条件：</v>
      </c>
      <c r="F113" s="410" t="str">
        <f t="shared" si="25"/>
        <v/>
      </c>
      <c r="G113" s="481" t="str">
        <f t="shared" si="25"/>
        <v/>
      </c>
      <c r="H113" s="482" t="str">
        <f t="shared" si="25"/>
        <v/>
      </c>
      <c r="I113" s="482" t="str">
        <f t="shared" si="25"/>
        <v/>
      </c>
      <c r="J113" s="482" t="str">
        <f t="shared" si="25"/>
        <v/>
      </c>
      <c r="K113" s="482" t="str">
        <f t="shared" si="25"/>
        <v/>
      </c>
      <c r="L113" s="398" t="str">
        <f t="shared" si="25"/>
        <v/>
      </c>
      <c r="M113" s="398" t="str">
        <f>+IF(M63="","",M63)</f>
        <v/>
      </c>
      <c r="O113" s="394"/>
    </row>
    <row r="114" spans="2:15" s="398" customFormat="1" ht="15" customHeight="1" x14ac:dyDescent="0.15">
      <c r="B114" s="483" t="str">
        <f t="shared" si="24"/>
        <v>品    名　・　摘    要</v>
      </c>
      <c r="C114" s="483"/>
      <c r="D114" s="483" t="str">
        <f>+IF(D64="","",D64)</f>
        <v/>
      </c>
      <c r="E114" s="483" t="str">
        <f t="shared" si="25"/>
        <v/>
      </c>
      <c r="F114" s="483" t="str">
        <f t="shared" si="25"/>
        <v/>
      </c>
      <c r="G114" s="483" t="str">
        <f t="shared" si="25"/>
        <v/>
      </c>
      <c r="H114" s="413" t="str">
        <f t="shared" si="25"/>
        <v>数  量</v>
      </c>
      <c r="I114" s="414" t="str">
        <f t="shared" si="25"/>
        <v>単位</v>
      </c>
      <c r="J114" s="415" t="str">
        <f t="shared" si="25"/>
        <v>単     価</v>
      </c>
      <c r="K114" s="484" t="str">
        <f t="shared" si="25"/>
        <v>金        額</v>
      </c>
      <c r="L114" s="483" t="str">
        <f t="shared" si="25"/>
        <v/>
      </c>
      <c r="M114" s="398" t="str">
        <f>+IF(M64="","",M64)</f>
        <v/>
      </c>
      <c r="O114" s="394"/>
    </row>
    <row r="115" spans="2:15" s="398" customFormat="1" ht="15" customHeight="1" x14ac:dyDescent="0.15">
      <c r="B115" s="416" t="str">
        <f t="shared" si="24"/>
        <v/>
      </c>
      <c r="C115" s="417" t="str">
        <f t="shared" si="24"/>
        <v>'地名・地番:</v>
      </c>
      <c r="D115" s="485" t="str">
        <f>+IF(D65="","",D65)</f>
        <v>東京都</v>
      </c>
      <c r="E115" s="486" t="str">
        <f t="shared" si="25"/>
        <v/>
      </c>
      <c r="F115" s="486" t="str">
        <f t="shared" si="25"/>
        <v/>
      </c>
      <c r="G115" s="486" t="str">
        <f t="shared" si="25"/>
        <v/>
      </c>
      <c r="H115" s="418" t="e">
        <f t="shared" si="25"/>
        <v>#REF!</v>
      </c>
      <c r="I115" s="418"/>
      <c r="J115" s="419" t="str">
        <f t="shared" si="25"/>
        <v>一戸建ての住宅</v>
      </c>
      <c r="K115" s="420" t="str">
        <f t="shared" si="25"/>
        <v/>
      </c>
      <c r="L115" s="420" t="str">
        <f t="shared" si="25"/>
        <v/>
      </c>
      <c r="O115" s="394"/>
    </row>
    <row r="116" spans="2:15" s="398" customFormat="1" ht="15" customHeight="1" x14ac:dyDescent="0.15">
      <c r="B116" s="421" t="str">
        <f>+IF(B69="","",B69)</f>
        <v/>
      </c>
      <c r="C116" s="419" t="str">
        <f t="shared" si="24"/>
        <v>構造・規模:</v>
      </c>
      <c r="D116" s="419" t="str">
        <f>+IF(D66="","",D66)</f>
        <v>木造</v>
      </c>
      <c r="E116" s="419" t="str">
        <f t="shared" si="25"/>
        <v>：地上</v>
      </c>
      <c r="F116" s="419">
        <f t="shared" si="25"/>
        <v>2</v>
      </c>
      <c r="G116" s="419" t="str">
        <f t="shared" si="25"/>
        <v>階、地下</v>
      </c>
      <c r="H116" s="419" t="str">
        <f t="shared" si="25"/>
        <v>-</v>
      </c>
      <c r="I116" s="419" t="str">
        <f t="shared" si="25"/>
        <v>階</v>
      </c>
      <c r="J116" s="419" t="str">
        <f t="shared" si="25"/>
        <v>：延べ面積</v>
      </c>
      <c r="K116" s="419" t="str">
        <f t="shared" si="25"/>
        <v>0-100㎡以内(3号)</v>
      </c>
      <c r="L116" s="422" t="str">
        <f t="shared" si="25"/>
        <v/>
      </c>
      <c r="O116" s="394"/>
    </row>
    <row r="117" spans="2:15" s="398" customFormat="1" ht="15" customHeight="1" x14ac:dyDescent="0.15">
      <c r="B117" s="423" t="str">
        <f t="shared" ref="B117:C132" si="26">+IF(B67="","",B67)</f>
        <v>■</v>
      </c>
      <c r="C117" s="423" t="str">
        <f t="shared" si="24"/>
        <v>確認申請業務【非課税】</v>
      </c>
      <c r="D117" s="423" t="str">
        <f>+IF(D67="","",D67)</f>
        <v/>
      </c>
      <c r="E117" s="423" t="str">
        <f t="shared" si="25"/>
        <v/>
      </c>
      <c r="F117" s="423" t="str">
        <f t="shared" si="25"/>
        <v/>
      </c>
      <c r="G117" s="423" t="str">
        <f t="shared" si="25"/>
        <v/>
      </c>
      <c r="H117" s="423" t="str">
        <f t="shared" si="25"/>
        <v/>
      </c>
      <c r="I117" s="423" t="str">
        <f t="shared" si="25"/>
        <v/>
      </c>
      <c r="J117" s="424"/>
      <c r="K117" s="425"/>
      <c r="L117" s="422" t="str">
        <f t="shared" si="25"/>
        <v/>
      </c>
    </row>
    <row r="118" spans="2:15" s="398" customFormat="1" ht="15" customHeight="1" x14ac:dyDescent="0.15">
      <c r="B118" s="423" t="str">
        <f t="shared" si="26"/>
        <v>・</v>
      </c>
      <c r="C118" s="423" t="str">
        <f t="shared" si="24"/>
        <v>確認申請(計画通知)基本手数料</v>
      </c>
      <c r="D118" s="426"/>
      <c r="E118" s="427"/>
      <c r="F118" s="423" t="str">
        <f>+IF(F68="","",F68)</f>
        <v/>
      </c>
      <c r="G118" s="423" t="str">
        <f>+IF(G68="","",G68)</f>
        <v/>
      </c>
      <c r="H118" s="428">
        <f t="shared" si="25"/>
        <v>1</v>
      </c>
      <c r="I118" s="428" t="str">
        <f t="shared" si="25"/>
        <v>式</v>
      </c>
      <c r="J118" s="424">
        <f>IFERROR(INDEX(確認申請料金表データ!C$110:Q$137,MATCH($K$16,確認申請料金表データ!B$110:B$137,0),MATCH($C118,確認申請料金表データ!C$3:Q$3,0)),"")</f>
        <v>40500</v>
      </c>
      <c r="K118" s="425">
        <f t="shared" ref="K118:K123" si="27">IFERROR(+J118*H118,"")</f>
        <v>40500</v>
      </c>
      <c r="L118" s="422" t="str">
        <f t="shared" si="25"/>
        <v>-</v>
      </c>
    </row>
    <row r="119" spans="2:15" s="398" customFormat="1" ht="15" customHeight="1" x14ac:dyDescent="0.15">
      <c r="B119" s="423" t="str">
        <f t="shared" si="26"/>
        <v/>
      </c>
      <c r="C119" s="423" t="str">
        <f t="shared" si="24"/>
        <v/>
      </c>
      <c r="D119" s="426"/>
      <c r="E119" s="423" t="str">
        <f>+IF(E69="","",E69)</f>
        <v/>
      </c>
      <c r="F119" s="423"/>
      <c r="G119" s="423"/>
      <c r="H119" s="428" t="str">
        <f t="shared" si="25"/>
        <v/>
      </c>
      <c r="I119" s="428" t="str">
        <f t="shared" si="25"/>
        <v/>
      </c>
      <c r="J119" s="424" t="str">
        <f>IFERROR(INDEX(確認申請料金表データ!C$110:Q$137,MATCH(E119,確認申請料金表データ!B$110:B$137,0),MATCH(C119,確認申請料金表データ!C$3:Q$3,0)),"")</f>
        <v/>
      </c>
      <c r="K119" s="425" t="str">
        <f t="shared" si="27"/>
        <v/>
      </c>
      <c r="L119" s="422" t="str">
        <f t="shared" si="25"/>
        <v/>
      </c>
    </row>
    <row r="120" spans="2:15" s="398" customFormat="1" ht="15" customHeight="1" x14ac:dyDescent="0.15">
      <c r="B120" s="423" t="str">
        <f t="shared" si="26"/>
        <v/>
      </c>
      <c r="C120" s="423" t="str">
        <f t="shared" si="24"/>
        <v/>
      </c>
      <c r="D120" s="426"/>
      <c r="E120" s="423" t="str">
        <f>+IF(E70="","",E70)</f>
        <v/>
      </c>
      <c r="F120" s="423"/>
      <c r="G120" s="423"/>
      <c r="H120" s="428" t="str">
        <f t="shared" si="25"/>
        <v/>
      </c>
      <c r="I120" s="428" t="str">
        <f t="shared" si="25"/>
        <v/>
      </c>
      <c r="J120" s="424" t="str">
        <f>IFERROR(INDEX(確認申請料金表データ!C$110:Q$137,MATCH(E120,確認申請料金表データ!B$110:B$137,0),MATCH(C120,確認申請料金表データ!C$3:Q$3,0)),"")</f>
        <v/>
      </c>
      <c r="K120" s="425" t="str">
        <f t="shared" si="27"/>
        <v/>
      </c>
      <c r="L120" s="422" t="str">
        <f t="shared" si="25"/>
        <v/>
      </c>
      <c r="O120" s="429"/>
    </row>
    <row r="121" spans="2:15" s="398" customFormat="1" ht="15" customHeight="1" x14ac:dyDescent="0.15">
      <c r="B121" s="423" t="str">
        <f t="shared" si="26"/>
        <v/>
      </c>
      <c r="C121" s="423" t="str">
        <f t="shared" si="24"/>
        <v/>
      </c>
      <c r="D121" s="426"/>
      <c r="E121" s="423" t="str">
        <f>+IF(E71="","",E71)</f>
        <v/>
      </c>
      <c r="F121" s="423"/>
      <c r="G121" s="423"/>
      <c r="H121" s="428" t="str">
        <f t="shared" si="25"/>
        <v/>
      </c>
      <c r="I121" s="428" t="str">
        <f t="shared" si="25"/>
        <v/>
      </c>
      <c r="J121" s="424" t="str">
        <f>IFERROR(INDEX(確認申請料金表データ!C$110:Q$137,MATCH(E121,確認申請料金表データ!B$110:B$137,0),MATCH(C121,確認申請料金表データ!C$3:Q$3,0)),"")</f>
        <v/>
      </c>
      <c r="K121" s="425" t="str">
        <f t="shared" si="27"/>
        <v/>
      </c>
      <c r="L121" s="422" t="str">
        <f t="shared" si="25"/>
        <v/>
      </c>
      <c r="O121" s="429"/>
    </row>
    <row r="122" spans="2:15" s="398" customFormat="1" ht="15" customHeight="1" x14ac:dyDescent="0.15">
      <c r="B122" s="423" t="str">
        <f t="shared" si="26"/>
        <v>・</v>
      </c>
      <c r="C122" s="423" t="str">
        <f t="shared" si="24"/>
        <v>完了検査(工事完了通知)基本手数料(省エネ適判なし)</v>
      </c>
      <c r="D122" s="426"/>
      <c r="E122" s="426"/>
      <c r="F122" s="423" t="str">
        <f t="shared" ref="F122:I137" si="28">+IF(F72="","",F72)</f>
        <v/>
      </c>
      <c r="G122" s="423" t="str">
        <f t="shared" si="28"/>
        <v/>
      </c>
      <c r="H122" s="428">
        <f t="shared" si="25"/>
        <v>1</v>
      </c>
      <c r="I122" s="428" t="str">
        <f t="shared" si="25"/>
        <v>式</v>
      </c>
      <c r="J122" s="424">
        <f>IFERROR(INDEX(確認申請料金表データ!C$110:Q$137,MATCH($K$16,確認申請料金表データ!B$110:B$137,0),MATCH($C122,確認申請料金表データ!C$3:Q$3,0)),"")</f>
        <v>36000</v>
      </c>
      <c r="K122" s="425">
        <f t="shared" si="27"/>
        <v>36000</v>
      </c>
      <c r="L122" s="422" t="str">
        <f t="shared" si="25"/>
        <v>-</v>
      </c>
    </row>
    <row r="123" spans="2:15" s="398" customFormat="1" ht="15" customHeight="1" x14ac:dyDescent="0.15">
      <c r="B123" s="423" t="str">
        <f t="shared" si="26"/>
        <v/>
      </c>
      <c r="C123" s="423" t="str">
        <f t="shared" si="26"/>
        <v/>
      </c>
      <c r="D123" s="426"/>
      <c r="E123" s="426"/>
      <c r="F123" s="423" t="str">
        <f t="shared" si="28"/>
        <v/>
      </c>
      <c r="G123" s="423" t="str">
        <f t="shared" si="28"/>
        <v/>
      </c>
      <c r="H123" s="428" t="str">
        <f t="shared" si="28"/>
        <v/>
      </c>
      <c r="I123" s="428" t="str">
        <f t="shared" si="28"/>
        <v/>
      </c>
      <c r="J123" s="424" t="str">
        <f>IFERROR(INDEX(確認申請料金表データ!C$110:Q$137,MATCH($K$16,確認申請料金表データ!B$110:B$137,0),MATCH($C123,確認申請料金表データ!C$3:Q$3,0)),"")</f>
        <v/>
      </c>
      <c r="K123" s="425" t="str">
        <f t="shared" si="27"/>
        <v/>
      </c>
      <c r="L123" s="422" t="str">
        <f t="shared" ref="L123:L142" si="29">+IF(L73="","",L73)</f>
        <v/>
      </c>
      <c r="M123" s="423" t="str">
        <f>+IF(M73="","",M73)</f>
        <v/>
      </c>
    </row>
    <row r="124" spans="2:15" s="398" customFormat="1" ht="15" customHeight="1" x14ac:dyDescent="0.15">
      <c r="B124" s="423" t="str">
        <f t="shared" si="26"/>
        <v/>
      </c>
      <c r="C124" s="423" t="str">
        <f t="shared" si="26"/>
        <v/>
      </c>
      <c r="D124" s="426"/>
      <c r="E124" s="426"/>
      <c r="F124" s="423" t="str">
        <f t="shared" si="28"/>
        <v/>
      </c>
      <c r="G124" s="423" t="str">
        <f t="shared" si="28"/>
        <v/>
      </c>
      <c r="H124" s="423" t="str">
        <f t="shared" si="28"/>
        <v/>
      </c>
      <c r="I124" s="423" t="str">
        <f t="shared" si="28"/>
        <v/>
      </c>
      <c r="J124" s="423" t="str">
        <f>+IF(J74="","",J74)</f>
        <v/>
      </c>
      <c r="K124" s="423" t="str">
        <f>+IF(K74="","",K74)</f>
        <v/>
      </c>
      <c r="L124" s="422" t="str">
        <f t="shared" si="29"/>
        <v/>
      </c>
      <c r="M124" s="423" t="str">
        <f>+IF(M74="","",M74)</f>
        <v/>
      </c>
    </row>
    <row r="125" spans="2:15" s="398" customFormat="1" ht="15" customHeight="1" x14ac:dyDescent="0.15">
      <c r="B125" s="423" t="str">
        <f t="shared" si="26"/>
        <v>□</v>
      </c>
      <c r="C125" s="423" t="str">
        <f t="shared" si="26"/>
        <v>加算手数料</v>
      </c>
      <c r="D125" s="426"/>
      <c r="E125" s="426"/>
      <c r="F125" s="426"/>
      <c r="G125" s="426"/>
      <c r="H125" s="428" t="str">
        <f t="shared" si="28"/>
        <v/>
      </c>
      <c r="I125" s="428" t="str">
        <f t="shared" si="28"/>
        <v/>
      </c>
      <c r="J125" s="424"/>
      <c r="K125" s="425"/>
      <c r="L125" s="422" t="str">
        <f t="shared" si="29"/>
        <v/>
      </c>
    </row>
    <row r="126" spans="2:15" s="398" customFormat="1" ht="15" customHeight="1" x14ac:dyDescent="0.15">
      <c r="B126" s="423" t="str">
        <f t="shared" si="26"/>
        <v/>
      </c>
      <c r="C126" s="423" t="str">
        <f t="shared" si="26"/>
        <v/>
      </c>
      <c r="D126" s="426"/>
      <c r="E126" s="426"/>
      <c r="F126" s="426"/>
      <c r="G126" s="426"/>
      <c r="H126" s="428" t="str">
        <f t="shared" si="28"/>
        <v/>
      </c>
      <c r="I126" s="428" t="str">
        <f t="shared" si="28"/>
        <v/>
      </c>
      <c r="J126" s="424" t="str">
        <f>IFERROR(INDEX(確認申請料金表データ!X$110:AN$137,MATCH($K$16,確認申請料金表データ!B$110:B$137,0),MATCH(C126,確認申請料金表データ!X$3:AN$3,0)),"")</f>
        <v/>
      </c>
      <c r="K126" s="425" t="str">
        <f>IFERROR(+J126*H126,"")</f>
        <v/>
      </c>
      <c r="L126" s="422" t="str">
        <f t="shared" si="29"/>
        <v/>
      </c>
    </row>
    <row r="127" spans="2:15" s="398" customFormat="1" ht="15" customHeight="1" x14ac:dyDescent="0.15">
      <c r="B127" s="423" t="str">
        <f t="shared" si="26"/>
        <v/>
      </c>
      <c r="C127" s="423" t="str">
        <f t="shared" si="26"/>
        <v/>
      </c>
      <c r="D127" s="426"/>
      <c r="E127" s="426"/>
      <c r="F127" s="426"/>
      <c r="G127" s="426"/>
      <c r="H127" s="428" t="str">
        <f t="shared" si="28"/>
        <v/>
      </c>
      <c r="I127" s="428" t="str">
        <f t="shared" si="28"/>
        <v/>
      </c>
      <c r="J127" s="424" t="str">
        <f>IFERROR(INDEX(確認申請料金表データ!X$110:AN$137,MATCH($K$16,確認申請料金表データ!B$110:B$137,0),MATCH(C127,確認申請料金表データ!X$3:AN$3,0)),"")</f>
        <v/>
      </c>
      <c r="K127" s="425" t="str">
        <f t="shared" ref="K127:K130" si="30">IFERROR(+J127*H127,"")</f>
        <v/>
      </c>
      <c r="L127" s="422" t="str">
        <f t="shared" si="29"/>
        <v/>
      </c>
      <c r="O127" s="430"/>
    </row>
    <row r="128" spans="2:15" s="398" customFormat="1" ht="15" customHeight="1" x14ac:dyDescent="0.15">
      <c r="B128" s="423" t="str">
        <f t="shared" si="26"/>
        <v/>
      </c>
      <c r="C128" s="423" t="str">
        <f t="shared" si="26"/>
        <v/>
      </c>
      <c r="D128" s="426"/>
      <c r="E128" s="426"/>
      <c r="F128" s="426"/>
      <c r="G128" s="426"/>
      <c r="H128" s="428" t="str">
        <f t="shared" si="28"/>
        <v/>
      </c>
      <c r="I128" s="428" t="str">
        <f t="shared" si="28"/>
        <v/>
      </c>
      <c r="J128" s="424" t="str">
        <f>IFERROR(INDEX(確認申請料金表データ!X$110:AN$137,MATCH($K$16,確認申請料金表データ!B$110:B$137,0),MATCH(C128,確認申請料金表データ!X$3:AN$3,0)),"")</f>
        <v/>
      </c>
      <c r="K128" s="425" t="str">
        <f t="shared" si="30"/>
        <v/>
      </c>
      <c r="L128" s="422" t="str">
        <f t="shared" si="29"/>
        <v/>
      </c>
    </row>
    <row r="129" spans="2:15" s="398" customFormat="1" ht="15" customHeight="1" x14ac:dyDescent="0.15">
      <c r="B129" s="423" t="str">
        <f t="shared" si="26"/>
        <v/>
      </c>
      <c r="C129" s="423" t="str">
        <f t="shared" si="26"/>
        <v/>
      </c>
      <c r="D129" s="426"/>
      <c r="E129" s="426"/>
      <c r="F129" s="426"/>
      <c r="G129" s="426"/>
      <c r="H129" s="428" t="str">
        <f t="shared" si="28"/>
        <v/>
      </c>
      <c r="I129" s="428" t="str">
        <f t="shared" si="28"/>
        <v/>
      </c>
      <c r="J129" s="424" t="str">
        <f>IFERROR(INDEX(確認申請料金表データ!X$110:AN$137,MATCH($K$16,確認申請料金表データ!B$110:B$137,0),MATCH(C129,確認申請料金表データ!X$3:AN$3,0)),"")</f>
        <v/>
      </c>
      <c r="K129" s="425" t="str">
        <f t="shared" si="30"/>
        <v/>
      </c>
      <c r="L129" s="422" t="str">
        <f t="shared" si="29"/>
        <v/>
      </c>
    </row>
    <row r="130" spans="2:15" s="398" customFormat="1" ht="15" customHeight="1" x14ac:dyDescent="0.15">
      <c r="B130" s="423" t="str">
        <f t="shared" si="26"/>
        <v/>
      </c>
      <c r="C130" s="423" t="str">
        <f t="shared" si="26"/>
        <v/>
      </c>
      <c r="D130" s="426"/>
      <c r="E130" s="426"/>
      <c r="F130" s="426"/>
      <c r="G130" s="426"/>
      <c r="H130" s="428" t="str">
        <f t="shared" si="28"/>
        <v/>
      </c>
      <c r="I130" s="428" t="str">
        <f t="shared" si="28"/>
        <v/>
      </c>
      <c r="J130" s="424" t="str">
        <f>IFERROR(INDEX(確認申請料金表データ!X$110:AN$137,MATCH($K$16,確認申請料金表データ!B$110:B$137,0),MATCH(C130,確認申請料金表データ!X$3:AN$3,0)),"")</f>
        <v/>
      </c>
      <c r="K130" s="425" t="str">
        <f t="shared" si="30"/>
        <v/>
      </c>
      <c r="L130" s="422" t="str">
        <f t="shared" si="29"/>
        <v/>
      </c>
    </row>
    <row r="131" spans="2:15" s="398" customFormat="1" ht="15" customHeight="1" x14ac:dyDescent="0.15">
      <c r="B131" s="423" t="str">
        <f t="shared" si="26"/>
        <v/>
      </c>
      <c r="C131" s="423" t="str">
        <f t="shared" si="26"/>
        <v/>
      </c>
      <c r="D131" s="423"/>
      <c r="E131" s="423"/>
      <c r="F131" s="423"/>
      <c r="G131" s="423"/>
      <c r="H131" s="428" t="str">
        <f t="shared" si="28"/>
        <v/>
      </c>
      <c r="I131" s="428" t="str">
        <f t="shared" si="28"/>
        <v/>
      </c>
      <c r="J131" s="424" t="str">
        <f>IFERROR(INDEX(確認申請料金表データ!X$110:AN$137,MATCH($K$16,確認申請料金表データ!B$110:B$137,0),MATCH(C131,確認申請料金表データ!X$3:AN$3,0)),"")</f>
        <v/>
      </c>
      <c r="K131" s="425" t="str">
        <f>IFERROR(+J131*H131,"")</f>
        <v/>
      </c>
      <c r="L131" s="422" t="str">
        <f t="shared" si="29"/>
        <v/>
      </c>
    </row>
    <row r="132" spans="2:15" s="398" customFormat="1" ht="15" customHeight="1" x14ac:dyDescent="0.15">
      <c r="B132" s="423" t="str">
        <f t="shared" si="26"/>
        <v/>
      </c>
      <c r="C132" s="423" t="str">
        <f t="shared" si="26"/>
        <v/>
      </c>
      <c r="D132" s="423"/>
      <c r="E132" s="423"/>
      <c r="F132" s="423"/>
      <c r="G132" s="423"/>
      <c r="H132" s="428" t="str">
        <f t="shared" si="28"/>
        <v/>
      </c>
      <c r="I132" s="428" t="str">
        <f t="shared" si="28"/>
        <v/>
      </c>
      <c r="J132" s="424" t="str">
        <f>IFERROR(INDEX(確認申請料金表データ!X$110:AN$137,MATCH($K$16,確認申請料金表データ!B$110:B$137,0),MATCH(C132,確認申請料金表データ!X$3:AN$3,0)),"")</f>
        <v/>
      </c>
      <c r="K132" s="425" t="str">
        <f>IFERROR(+J132*H132,"")</f>
        <v/>
      </c>
      <c r="L132" s="422" t="str">
        <f t="shared" si="29"/>
        <v/>
      </c>
    </row>
    <row r="133" spans="2:15" s="398" customFormat="1" ht="15" customHeight="1" x14ac:dyDescent="0.15">
      <c r="B133" s="423" t="str">
        <f t="shared" ref="B133:K142" si="31">+IF(B83="","",B83)</f>
        <v/>
      </c>
      <c r="C133" s="423" t="str">
        <f t="shared" si="31"/>
        <v/>
      </c>
      <c r="D133" s="423"/>
      <c r="E133" s="423"/>
      <c r="F133" s="423"/>
      <c r="G133" s="423"/>
      <c r="H133" s="428" t="str">
        <f t="shared" si="28"/>
        <v/>
      </c>
      <c r="I133" s="428" t="str">
        <f t="shared" si="28"/>
        <v/>
      </c>
      <c r="J133" s="424" t="str">
        <f>IFERROR(INDEX(確認申請料金表データ!X$110:AN$137,MATCH($K$16,確認申請料金表データ!B$110:B$137,0),MATCH(C133,確認申請料金表データ!X$3:AN$3,0)),"")</f>
        <v/>
      </c>
      <c r="K133" s="425" t="str">
        <f t="shared" ref="K133" si="32">IFERROR(+J133*H133,"")</f>
        <v/>
      </c>
      <c r="L133" s="422" t="str">
        <f t="shared" si="29"/>
        <v/>
      </c>
    </row>
    <row r="134" spans="2:15" s="398" customFormat="1" ht="15" customHeight="1" x14ac:dyDescent="0.15">
      <c r="B134" s="423" t="str">
        <f t="shared" si="31"/>
        <v/>
      </c>
      <c r="C134" s="423" t="str">
        <f t="shared" si="31"/>
        <v/>
      </c>
      <c r="D134" s="423" t="str">
        <f>+IF(D84="","",D84)</f>
        <v/>
      </c>
      <c r="E134" s="423" t="str">
        <f>+IF(E84="","",E84)</f>
        <v/>
      </c>
      <c r="F134" s="423" t="str">
        <f>+IF(F84="","",F84)</f>
        <v/>
      </c>
      <c r="G134" s="423" t="str">
        <f>+IF(G84="","",G84)</f>
        <v/>
      </c>
      <c r="H134" s="423" t="str">
        <f t="shared" si="28"/>
        <v/>
      </c>
      <c r="I134" s="423" t="str">
        <f t="shared" si="28"/>
        <v/>
      </c>
      <c r="J134" s="423" t="str">
        <f>+IF(J84="","",J84)</f>
        <v/>
      </c>
      <c r="K134" s="423" t="str">
        <f>+IF(K84="","",K84)</f>
        <v/>
      </c>
      <c r="L134" s="422" t="str">
        <f t="shared" si="29"/>
        <v/>
      </c>
      <c r="O134" s="429"/>
    </row>
    <row r="135" spans="2:15" s="398" customFormat="1" ht="15" customHeight="1" x14ac:dyDescent="0.15">
      <c r="B135" s="423" t="str">
        <f t="shared" si="31"/>
        <v>□</v>
      </c>
      <c r="C135" s="423" t="str">
        <f t="shared" si="31"/>
        <v>省エネ基準省令に基づく基準による審査(仕様基準)</v>
      </c>
      <c r="D135" s="426"/>
      <c r="E135" s="426"/>
      <c r="F135" s="426"/>
      <c r="G135" s="426"/>
      <c r="H135" s="428" t="str">
        <f t="shared" si="28"/>
        <v/>
      </c>
      <c r="I135" s="428" t="str">
        <f t="shared" si="28"/>
        <v/>
      </c>
      <c r="J135" s="424"/>
      <c r="K135" s="425"/>
      <c r="L135" s="422" t="str">
        <f t="shared" si="29"/>
        <v/>
      </c>
    </row>
    <row r="136" spans="2:15" s="398" customFormat="1" ht="15" customHeight="1" x14ac:dyDescent="0.15">
      <c r="B136" s="423" t="str">
        <f t="shared" si="31"/>
        <v/>
      </c>
      <c r="C136" s="423" t="str">
        <f t="shared" si="31"/>
        <v/>
      </c>
      <c r="D136" s="426"/>
      <c r="E136" s="426"/>
      <c r="F136" s="426"/>
      <c r="G136" s="426"/>
      <c r="H136" s="428" t="str">
        <f t="shared" si="28"/>
        <v/>
      </c>
      <c r="I136" s="428" t="str">
        <f t="shared" si="28"/>
        <v/>
      </c>
      <c r="J136" s="424" t="str">
        <f>IFERROR(INDEX(確認申請料金表データ!S$110:V$137,MATCH($K$16,確認申請料金表データ!B$110:B$137,0),MATCH($C136,確認申請料金表データ!S$3:V$3,0)),"")</f>
        <v/>
      </c>
      <c r="K136" s="425" t="str">
        <f t="shared" ref="K136:K137" si="33">IFERROR(+J136*H136,"")</f>
        <v/>
      </c>
      <c r="L136" s="422" t="str">
        <f t="shared" si="29"/>
        <v/>
      </c>
    </row>
    <row r="137" spans="2:15" s="398" customFormat="1" ht="15" customHeight="1" x14ac:dyDescent="0.15">
      <c r="B137" s="423" t="str">
        <f t="shared" si="31"/>
        <v/>
      </c>
      <c r="C137" s="423" t="str">
        <f t="shared" si="31"/>
        <v/>
      </c>
      <c r="D137" s="426"/>
      <c r="E137" s="426"/>
      <c r="F137" s="426"/>
      <c r="G137" s="426"/>
      <c r="H137" s="428" t="str">
        <f t="shared" si="28"/>
        <v/>
      </c>
      <c r="I137" s="428" t="str">
        <f t="shared" si="28"/>
        <v/>
      </c>
      <c r="J137" s="424" t="str">
        <f>IFERROR(INDEX(確認申請料金表データ!S$110:V$137,MATCH($K$16,確認申請料金表データ!B$110:B$137,0),MATCH($C137,確認申請料金表データ!S$3:V$3,0)),"")</f>
        <v/>
      </c>
      <c r="K137" s="425" t="str">
        <f t="shared" si="33"/>
        <v/>
      </c>
      <c r="L137" s="422" t="str">
        <f t="shared" si="29"/>
        <v/>
      </c>
    </row>
    <row r="138" spans="2:15" s="398" customFormat="1" ht="15" customHeight="1" x14ac:dyDescent="0.15">
      <c r="B138" s="423" t="str">
        <f t="shared" si="31"/>
        <v/>
      </c>
      <c r="C138" s="423" t="str">
        <f t="shared" si="31"/>
        <v/>
      </c>
      <c r="D138" s="426"/>
      <c r="E138" s="426"/>
      <c r="F138" s="426"/>
      <c r="G138" s="426"/>
      <c r="H138" s="422" t="str">
        <f t="shared" ref="H138:I138" si="34">+IF(H88="","",H88)</f>
        <v/>
      </c>
      <c r="I138" s="422" t="str">
        <f t="shared" si="34"/>
        <v/>
      </c>
      <c r="J138" s="422" t="str">
        <f>+IF(J88="","",J88)</f>
        <v/>
      </c>
      <c r="K138" s="422" t="str">
        <f>+IF(K88="","",K88)</f>
        <v/>
      </c>
      <c r="L138" s="422" t="str">
        <f t="shared" si="29"/>
        <v/>
      </c>
    </row>
    <row r="139" spans="2:15" s="398" customFormat="1" ht="15" customHeight="1" x14ac:dyDescent="0.15">
      <c r="B139" s="423" t="str">
        <f t="shared" si="31"/>
        <v/>
      </c>
      <c r="C139" s="423" t="str">
        <f t="shared" si="31"/>
        <v/>
      </c>
      <c r="D139" s="431"/>
      <c r="E139" s="431"/>
      <c r="F139" s="431"/>
      <c r="G139" s="431"/>
      <c r="H139" s="432" t="s">
        <v>21</v>
      </c>
      <c r="I139" s="433"/>
      <c r="J139" s="433"/>
      <c r="K139" s="434">
        <f>SUM(K118:K137)</f>
        <v>76500</v>
      </c>
      <c r="L139" s="422" t="str">
        <f t="shared" si="29"/>
        <v>-</v>
      </c>
    </row>
    <row r="140" spans="2:15" s="398" customFormat="1" ht="15" customHeight="1" x14ac:dyDescent="0.15">
      <c r="B140" s="435" t="str">
        <f t="shared" si="31"/>
        <v>□</v>
      </c>
      <c r="C140" s="436" t="str">
        <f t="shared" si="31"/>
        <v>出張費及び交通費（当機関規定による）【課税対象、消費税込み】</v>
      </c>
      <c r="D140" s="437" t="str">
        <f t="shared" si="31"/>
        <v/>
      </c>
      <c r="E140" s="437" t="str">
        <f t="shared" si="31"/>
        <v/>
      </c>
      <c r="F140" s="437" t="str">
        <f t="shared" si="31"/>
        <v/>
      </c>
      <c r="G140" s="437" t="str">
        <f t="shared" si="31"/>
        <v/>
      </c>
      <c r="H140" s="438" t="str">
        <f t="shared" si="31"/>
        <v/>
      </c>
      <c r="I140" s="435" t="str">
        <f t="shared" si="31"/>
        <v/>
      </c>
      <c r="J140" s="439" t="str">
        <f t="shared" si="31"/>
        <v/>
      </c>
      <c r="K140" s="439" t="str">
        <f t="shared" si="31"/>
        <v/>
      </c>
      <c r="L140" s="435" t="str">
        <f t="shared" si="29"/>
        <v/>
      </c>
      <c r="M140" s="398" t="str">
        <f>+IF(M90="","",M90)</f>
        <v/>
      </c>
      <c r="N140" s="398" t="str">
        <f>+IF(N90="","",N90)</f>
        <v/>
      </c>
    </row>
    <row r="141" spans="2:15" s="398" customFormat="1" ht="15" customHeight="1" x14ac:dyDescent="0.15">
      <c r="B141" s="440" t="str">
        <f t="shared" si="31"/>
        <v/>
      </c>
      <c r="C141" s="440" t="str">
        <f t="shared" si="31"/>
        <v>出張交通費</v>
      </c>
      <c r="D141" s="441" t="str">
        <f t="shared" si="31"/>
        <v>東京都</v>
      </c>
      <c r="E141" s="426" t="str">
        <f t="shared" si="31"/>
        <v/>
      </c>
      <c r="F141" s="426" t="str">
        <f t="shared" si="31"/>
        <v/>
      </c>
      <c r="G141" s="442" t="str">
        <f t="shared" si="31"/>
        <v/>
      </c>
      <c r="H141" s="443">
        <f t="shared" si="31"/>
        <v>1</v>
      </c>
      <c r="I141" s="428" t="str">
        <f t="shared" si="31"/>
        <v>回</v>
      </c>
      <c r="J141" s="444">
        <f t="shared" si="31"/>
        <v>2200</v>
      </c>
      <c r="K141" s="425">
        <f t="shared" si="31"/>
        <v>2200</v>
      </c>
      <c r="L141" s="445" t="str">
        <f t="shared" si="29"/>
        <v>-</v>
      </c>
      <c r="M141" s="398" t="str">
        <f>+IF(M91="","",M91)</f>
        <v/>
      </c>
      <c r="O141" s="429"/>
    </row>
    <row r="142" spans="2:15" s="398" customFormat="1" ht="15" customHeight="1" x14ac:dyDescent="0.15">
      <c r="B142" s="446" t="str">
        <f t="shared" si="31"/>
        <v/>
      </c>
      <c r="C142" s="447" t="str">
        <f t="shared" si="31"/>
        <v/>
      </c>
      <c r="D142" s="447" t="str">
        <f>+IF(D92="","",D92)</f>
        <v/>
      </c>
      <c r="E142" s="447" t="str">
        <f>+IF(E92="","",E92)</f>
        <v/>
      </c>
      <c r="F142" s="447" t="str">
        <f>+IF(F92="","",F92)</f>
        <v/>
      </c>
      <c r="G142" s="447" t="str">
        <f>+IF(G92="","",G92)</f>
        <v/>
      </c>
      <c r="H142" s="448" t="str">
        <f>+IF(H92="","",H92)</f>
        <v>合     計</v>
      </c>
      <c r="I142" s="448"/>
      <c r="J142" s="449"/>
      <c r="K142" s="450">
        <f>+IF(K92="","",K92)</f>
        <v>2200</v>
      </c>
      <c r="L142" s="446" t="str">
        <f t="shared" si="29"/>
        <v>-</v>
      </c>
      <c r="M142" s="398" t="str">
        <f>+IF(M92="","",M92)</f>
        <v/>
      </c>
      <c r="N142" s="398" t="str">
        <f>+IF(N92="","",N92)</f>
        <v/>
      </c>
    </row>
    <row r="143" spans="2:15" s="398" customFormat="1" ht="15" customHeight="1" thickBot="1" x14ac:dyDescent="0.2">
      <c r="C143" s="398" t="s">
        <v>91</v>
      </c>
      <c r="H143" s="451" t="s">
        <v>2</v>
      </c>
      <c r="I143" s="451"/>
      <c r="J143" s="451"/>
      <c r="K143" s="452">
        <f>K139+K142</f>
        <v>78700</v>
      </c>
      <c r="L143" s="453" t="s">
        <v>1</v>
      </c>
    </row>
    <row r="144" spans="2:15" s="398" customFormat="1" ht="15" customHeight="1" thickTop="1" x14ac:dyDescent="0.15">
      <c r="B144" s="409"/>
      <c r="C144" s="412" t="s">
        <v>19</v>
      </c>
      <c r="I144" s="454"/>
      <c r="J144" s="454"/>
      <c r="K144" s="455"/>
      <c r="L144" s="412"/>
    </row>
    <row r="145" spans="2:27" s="398" customFormat="1" ht="15" customHeight="1" x14ac:dyDescent="0.15">
      <c r="C145" s="412" t="s">
        <v>22</v>
      </c>
    </row>
    <row r="146" spans="2:27" s="398" customFormat="1" ht="15" customHeight="1" x14ac:dyDescent="0.15">
      <c r="C146" s="412" t="s">
        <v>16</v>
      </c>
    </row>
    <row r="147" spans="2:27" s="398" customFormat="1" ht="15" customHeight="1" x14ac:dyDescent="0.15">
      <c r="C147" s="412" t="s">
        <v>20</v>
      </c>
    </row>
    <row r="148" spans="2:27" s="398" customFormat="1" ht="15" customHeight="1" x14ac:dyDescent="0.15">
      <c r="C148" s="412" t="s">
        <v>18</v>
      </c>
    </row>
    <row r="149" spans="2:27" s="392" customFormat="1" ht="15" customHeight="1" x14ac:dyDescent="0.15">
      <c r="C149" s="398"/>
      <c r="K149" s="456"/>
      <c r="O149" s="398"/>
    </row>
    <row r="150" spans="2:27" s="392" customFormat="1" ht="16.5" customHeight="1" x14ac:dyDescent="0.15">
      <c r="L150" s="456" t="s">
        <v>32</v>
      </c>
    </row>
    <row r="151" spans="2:27" s="392" customFormat="1" ht="19.5" customHeight="1" x14ac:dyDescent="0.15">
      <c r="B151" s="388" t="s">
        <v>29</v>
      </c>
      <c r="C151" s="389"/>
      <c r="D151" s="388"/>
      <c r="E151" s="390"/>
      <c r="F151" s="390"/>
      <c r="G151" s="390"/>
      <c r="H151" s="389"/>
      <c r="I151" s="389"/>
      <c r="J151" s="389"/>
      <c r="K151" s="389"/>
      <c r="L151" s="391" t="str">
        <f>+確認申請料金表データ!A211</f>
        <v>3.特約　確認および検査手数料20％off（加算手数料は通常通り）</v>
      </c>
      <c r="O151" s="393"/>
      <c r="P151" s="394"/>
      <c r="Q151" s="394"/>
      <c r="R151" s="394"/>
      <c r="S151" s="394"/>
      <c r="T151" s="393"/>
      <c r="U151" s="394"/>
      <c r="V151" s="394"/>
      <c r="W151" s="394"/>
      <c r="X151" s="394"/>
      <c r="Y151" s="394"/>
      <c r="Z151" s="394"/>
      <c r="AA151" s="394"/>
    </row>
    <row r="152" spans="2:27" s="392" customFormat="1" ht="15" customHeight="1" x14ac:dyDescent="0.15">
      <c r="E152" s="395"/>
      <c r="F152" s="395"/>
      <c r="G152" s="395"/>
      <c r="H152" s="395"/>
      <c r="I152" s="395"/>
      <c r="J152" s="762">
        <f ca="1">TODAY()</f>
        <v>45848</v>
      </c>
      <c r="K152" s="762"/>
      <c r="L152" s="395"/>
    </row>
    <row r="153" spans="2:27" s="392" customFormat="1" ht="15" customHeight="1" x14ac:dyDescent="0.15">
      <c r="E153" s="395"/>
      <c r="F153" s="395"/>
      <c r="G153" s="395"/>
      <c r="H153" s="395"/>
      <c r="I153" s="395"/>
      <c r="J153" s="396"/>
      <c r="K153" s="396"/>
      <c r="L153" s="395"/>
    </row>
    <row r="154" spans="2:27" s="392" customFormat="1" ht="15" customHeight="1" x14ac:dyDescent="0.15">
      <c r="C154" s="759" t="str">
        <f>+入力シート!$E$9&amp;"　　"&amp;入力シート!$G$9</f>
        <v>　　御中</v>
      </c>
      <c r="D154" s="759"/>
    </row>
    <row r="155" spans="2:27" s="392" customFormat="1" ht="15" customHeight="1" x14ac:dyDescent="0.15">
      <c r="C155" s="397" t="str">
        <f t="shared" ref="C155:C163" si="35">+IF(C105="","",C105)</f>
        <v/>
      </c>
    </row>
    <row r="156" spans="2:27" s="392" customFormat="1" ht="15" customHeight="1" x14ac:dyDescent="0.15">
      <c r="C156" s="392" t="str">
        <f t="shared" si="35"/>
        <v/>
      </c>
      <c r="H156" s="398" t="str">
        <f>+IF(H106="","",H106)</f>
        <v>〒150-0002  東京都渋谷区渋谷1-13-9</v>
      </c>
      <c r="I156" s="399"/>
    </row>
    <row r="157" spans="2:27" s="392" customFormat="1" ht="15" customHeight="1" x14ac:dyDescent="0.15">
      <c r="B157" s="392" t="str">
        <f t="shared" ref="B157:C172" si="36">+IF(B107="","",B107)</f>
        <v/>
      </c>
      <c r="C157" s="392" t="str">
        <f t="shared" si="35"/>
        <v/>
      </c>
      <c r="E157" s="392" t="str">
        <f t="shared" ref="E157:L172" si="37">+IF(E107="","",E107)</f>
        <v/>
      </c>
      <c r="F157" s="392" t="str">
        <f t="shared" si="37"/>
        <v/>
      </c>
      <c r="G157" s="392" t="str">
        <f t="shared" si="37"/>
        <v/>
      </c>
      <c r="H157" s="392" t="str">
        <f>+IF(H107="","",H107)</f>
        <v>株式会社 J 建築検査センター</v>
      </c>
      <c r="I157" s="400"/>
      <c r="L157" s="401"/>
      <c r="M157" s="401"/>
    </row>
    <row r="158" spans="2:27" s="392" customFormat="1" ht="15" customHeight="1" x14ac:dyDescent="0.15">
      <c r="B158" s="392" t="str">
        <f t="shared" si="36"/>
        <v/>
      </c>
      <c r="C158" s="392" t="str">
        <f t="shared" si="35"/>
        <v/>
      </c>
      <c r="E158" s="392" t="str">
        <f t="shared" si="37"/>
        <v/>
      </c>
      <c r="F158" s="392" t="str">
        <f t="shared" si="37"/>
        <v/>
      </c>
      <c r="G158" s="392" t="str">
        <f t="shared" si="37"/>
        <v/>
      </c>
      <c r="H158" s="398" t="str">
        <f>+IF(H108="","",H108)</f>
        <v>TEL:03-5464-7778　FAX:03-5464-7779</v>
      </c>
      <c r="I158" s="400"/>
      <c r="M158" s="392" t="str">
        <f>+IF(M108="","",M108)</f>
        <v/>
      </c>
    </row>
    <row r="159" spans="2:27" s="392" customFormat="1" ht="15" customHeight="1" x14ac:dyDescent="0.15">
      <c r="B159" s="392" t="str">
        <f t="shared" si="36"/>
        <v/>
      </c>
      <c r="C159" s="402" t="str">
        <f t="shared" si="35"/>
        <v>下記の通り、お見積申し上げます。</v>
      </c>
      <c r="E159" s="392" t="str">
        <f t="shared" si="37"/>
        <v/>
      </c>
      <c r="F159" s="392" t="str">
        <f t="shared" si="37"/>
        <v/>
      </c>
      <c r="G159" s="392" t="str">
        <f t="shared" si="37"/>
        <v/>
      </c>
      <c r="I159" s="400"/>
      <c r="M159" s="392" t="str">
        <f>+IF(M109="","",M109)</f>
        <v/>
      </c>
    </row>
    <row r="160" spans="2:27" s="392" customFormat="1" ht="11.25" customHeight="1" x14ac:dyDescent="0.15">
      <c r="B160" s="392" t="str">
        <f t="shared" si="36"/>
        <v/>
      </c>
      <c r="C160" s="403" t="str">
        <f t="shared" si="35"/>
        <v/>
      </c>
      <c r="D160" s="403"/>
      <c r="E160" s="403" t="str">
        <f t="shared" si="37"/>
        <v/>
      </c>
      <c r="F160" s="403" t="str">
        <f t="shared" si="37"/>
        <v/>
      </c>
      <c r="G160" s="403" t="str">
        <f t="shared" si="37"/>
        <v/>
      </c>
      <c r="H160" s="403"/>
      <c r="I160" s="403"/>
      <c r="J160" s="403"/>
      <c r="K160" s="403"/>
    </row>
    <row r="161" spans="2:15" s="394" customFormat="1" ht="24" customHeight="1" x14ac:dyDescent="0.15">
      <c r="B161" s="394" t="str">
        <f t="shared" si="36"/>
        <v/>
      </c>
      <c r="C161" s="404" t="str">
        <f t="shared" si="35"/>
        <v>件       名</v>
      </c>
      <c r="D161" s="479">
        <f>+IF(D111="","",D111)</f>
        <v>0</v>
      </c>
      <c r="E161" s="480" t="str">
        <f t="shared" si="37"/>
        <v/>
      </c>
      <c r="F161" s="480" t="str">
        <f t="shared" si="37"/>
        <v/>
      </c>
      <c r="G161" s="480" t="str">
        <f t="shared" si="37"/>
        <v/>
      </c>
      <c r="H161" s="480" t="str">
        <f t="shared" si="37"/>
        <v/>
      </c>
      <c r="I161" s="480" t="str">
        <f t="shared" si="37"/>
        <v/>
      </c>
      <c r="J161" s="480" t="str">
        <f t="shared" si="37"/>
        <v/>
      </c>
      <c r="K161" s="480" t="str">
        <f t="shared" si="37"/>
        <v/>
      </c>
      <c r="L161" s="394" t="str">
        <f t="shared" si="37"/>
        <v/>
      </c>
    </row>
    <row r="162" spans="2:15" s="394" customFormat="1" ht="24" customHeight="1" x14ac:dyDescent="0.15">
      <c r="B162" s="394" t="str">
        <f t="shared" si="36"/>
        <v/>
      </c>
      <c r="C162" s="405" t="str">
        <f t="shared" si="35"/>
        <v>総　　　額</v>
      </c>
      <c r="D162" s="406">
        <f>+K193</f>
        <v>70200</v>
      </c>
      <c r="E162" s="407" t="str">
        <f t="shared" si="37"/>
        <v>-</v>
      </c>
      <c r="F162" s="407" t="str">
        <f t="shared" si="37"/>
        <v/>
      </c>
      <c r="G162" s="407" t="str">
        <f t="shared" si="37"/>
        <v/>
      </c>
      <c r="H162" s="407" t="str">
        <f t="shared" si="37"/>
        <v/>
      </c>
      <c r="I162" s="408" t="str">
        <f t="shared" si="37"/>
        <v/>
      </c>
      <c r="J162" s="408" t="str">
        <f t="shared" si="37"/>
        <v/>
      </c>
      <c r="K162" s="408" t="str">
        <f t="shared" si="37"/>
        <v/>
      </c>
      <c r="L162" s="394" t="str">
        <f t="shared" si="37"/>
        <v/>
      </c>
    </row>
    <row r="163" spans="2:15" s="398" customFormat="1" ht="15" customHeight="1" x14ac:dyDescent="0.15">
      <c r="B163" s="409" t="str">
        <f t="shared" si="36"/>
        <v/>
      </c>
      <c r="C163" s="410" t="str">
        <f t="shared" si="35"/>
        <v>御見積書有効期限：</v>
      </c>
      <c r="D163" s="411" t="str">
        <f>+IF(D113="","",D113)</f>
        <v>1ヶ月</v>
      </c>
      <c r="E163" s="412" t="str">
        <f t="shared" si="37"/>
        <v>御支払条件：</v>
      </c>
      <c r="F163" s="410" t="str">
        <f t="shared" si="37"/>
        <v/>
      </c>
      <c r="G163" s="763" t="str">
        <f t="shared" si="37"/>
        <v/>
      </c>
      <c r="H163" s="763" t="str">
        <f t="shared" si="37"/>
        <v/>
      </c>
      <c r="I163" s="763" t="str">
        <f t="shared" si="37"/>
        <v/>
      </c>
      <c r="J163" s="763" t="str">
        <f t="shared" si="37"/>
        <v/>
      </c>
      <c r="K163" s="763" t="str">
        <f t="shared" si="37"/>
        <v/>
      </c>
      <c r="L163" s="398" t="str">
        <f t="shared" si="37"/>
        <v/>
      </c>
      <c r="M163" s="398" t="str">
        <f>+IF(M113="","",M113)</f>
        <v/>
      </c>
      <c r="O163" s="394"/>
    </row>
    <row r="164" spans="2:15" s="398" customFormat="1" ht="15" customHeight="1" x14ac:dyDescent="0.15">
      <c r="B164" s="483" t="str">
        <f t="shared" si="36"/>
        <v>品    名　・　摘    要</v>
      </c>
      <c r="C164" s="483"/>
      <c r="D164" s="483" t="str">
        <f>+IF(D114="","",D114)</f>
        <v/>
      </c>
      <c r="E164" s="483" t="str">
        <f t="shared" si="37"/>
        <v/>
      </c>
      <c r="F164" s="483" t="str">
        <f t="shared" si="37"/>
        <v/>
      </c>
      <c r="G164" s="483" t="str">
        <f t="shared" si="37"/>
        <v/>
      </c>
      <c r="H164" s="413" t="str">
        <f t="shared" si="37"/>
        <v>数  量</v>
      </c>
      <c r="I164" s="414" t="str">
        <f t="shared" si="37"/>
        <v>単位</v>
      </c>
      <c r="J164" s="415" t="str">
        <f t="shared" si="37"/>
        <v>単     価</v>
      </c>
      <c r="K164" s="761" t="str">
        <f t="shared" si="37"/>
        <v>金        額</v>
      </c>
      <c r="L164" s="760" t="str">
        <f t="shared" si="37"/>
        <v/>
      </c>
      <c r="M164" s="398" t="str">
        <f>+IF(M114="","",M114)</f>
        <v/>
      </c>
      <c r="O164" s="394"/>
    </row>
    <row r="165" spans="2:15" s="398" customFormat="1" ht="15" customHeight="1" x14ac:dyDescent="0.15">
      <c r="B165" s="416" t="str">
        <f t="shared" si="36"/>
        <v/>
      </c>
      <c r="C165" s="417" t="str">
        <f t="shared" si="36"/>
        <v>'地名・地番:</v>
      </c>
      <c r="D165" s="485" t="str">
        <f>+IF(D115="","",D115)</f>
        <v>東京都</v>
      </c>
      <c r="E165" s="486" t="str">
        <f t="shared" si="37"/>
        <v/>
      </c>
      <c r="F165" s="486" t="str">
        <f t="shared" si="37"/>
        <v/>
      </c>
      <c r="G165" s="486" t="str">
        <f t="shared" si="37"/>
        <v/>
      </c>
      <c r="H165" s="418" t="e">
        <f t="shared" si="37"/>
        <v>#REF!</v>
      </c>
      <c r="I165" s="418"/>
      <c r="J165" s="419" t="str">
        <f t="shared" si="37"/>
        <v>一戸建ての住宅</v>
      </c>
      <c r="K165" s="420" t="str">
        <f t="shared" si="37"/>
        <v/>
      </c>
      <c r="L165" s="420" t="str">
        <f t="shared" si="37"/>
        <v/>
      </c>
      <c r="O165" s="394"/>
    </row>
    <row r="166" spans="2:15" s="398" customFormat="1" ht="15" customHeight="1" x14ac:dyDescent="0.15">
      <c r="B166" s="421" t="str">
        <f>+IF(B119="","",B119)</f>
        <v/>
      </c>
      <c r="C166" s="419" t="str">
        <f t="shared" si="36"/>
        <v>構造・規模:</v>
      </c>
      <c r="D166" s="419" t="str">
        <f>+IF(D116="","",D116)</f>
        <v>木造</v>
      </c>
      <c r="E166" s="419" t="str">
        <f t="shared" si="37"/>
        <v>：地上</v>
      </c>
      <c r="F166" s="419">
        <f t="shared" si="37"/>
        <v>2</v>
      </c>
      <c r="G166" s="419" t="str">
        <f t="shared" si="37"/>
        <v>階、地下</v>
      </c>
      <c r="H166" s="419" t="str">
        <f t="shared" si="37"/>
        <v>-</v>
      </c>
      <c r="I166" s="419" t="str">
        <f t="shared" si="37"/>
        <v>階</v>
      </c>
      <c r="J166" s="419" t="str">
        <f t="shared" si="37"/>
        <v>：延べ面積</v>
      </c>
      <c r="K166" s="419" t="str">
        <f t="shared" si="37"/>
        <v>0-100㎡以内(3号)</v>
      </c>
      <c r="L166" s="422" t="str">
        <f t="shared" si="37"/>
        <v/>
      </c>
      <c r="O166" s="394"/>
    </row>
    <row r="167" spans="2:15" s="398" customFormat="1" ht="15" customHeight="1" x14ac:dyDescent="0.15">
      <c r="B167" s="423" t="str">
        <f t="shared" ref="B167:C182" si="38">+IF(B117="","",B117)</f>
        <v>■</v>
      </c>
      <c r="C167" s="423" t="str">
        <f t="shared" si="36"/>
        <v>確認申請業務【非課税】</v>
      </c>
      <c r="D167" s="423" t="str">
        <f>+IF(D117="","",D117)</f>
        <v/>
      </c>
      <c r="E167" s="423" t="str">
        <f t="shared" si="37"/>
        <v/>
      </c>
      <c r="F167" s="423" t="str">
        <f t="shared" si="37"/>
        <v/>
      </c>
      <c r="G167" s="423" t="str">
        <f t="shared" si="37"/>
        <v/>
      </c>
      <c r="H167" s="423" t="str">
        <f t="shared" si="37"/>
        <v/>
      </c>
      <c r="I167" s="423" t="str">
        <f t="shared" si="37"/>
        <v/>
      </c>
      <c r="J167" s="424"/>
      <c r="K167" s="425"/>
      <c r="L167" s="422" t="str">
        <f t="shared" si="37"/>
        <v/>
      </c>
    </row>
    <row r="168" spans="2:15" s="398" customFormat="1" ht="15" customHeight="1" x14ac:dyDescent="0.15">
      <c r="B168" s="423" t="str">
        <f t="shared" si="38"/>
        <v>・</v>
      </c>
      <c r="C168" s="423" t="str">
        <f t="shared" si="36"/>
        <v>確認申請(計画通知)基本手数料</v>
      </c>
      <c r="D168" s="426"/>
      <c r="E168" s="427"/>
      <c r="F168" s="423" t="str">
        <f>+IF(F118="","",F118)</f>
        <v/>
      </c>
      <c r="G168" s="423" t="str">
        <f>+IF(G118="","",G118)</f>
        <v/>
      </c>
      <c r="H168" s="428">
        <f t="shared" si="37"/>
        <v>1</v>
      </c>
      <c r="I168" s="428" t="str">
        <f t="shared" si="37"/>
        <v>式</v>
      </c>
      <c r="J168" s="424">
        <f>IFERROR(INDEX(確認申請料金表データ!C$214:Q$241,MATCH($K$16,確認申請料金表データ!B$214:B$241,0),MATCH($C168,確認申請料金表データ!C$3:Q$3,0)),"")</f>
        <v>36000</v>
      </c>
      <c r="K168" s="425">
        <f>IFERROR(+J168*H168,"")</f>
        <v>36000</v>
      </c>
      <c r="L168" s="422" t="str">
        <f t="shared" si="37"/>
        <v>-</v>
      </c>
    </row>
    <row r="169" spans="2:15" s="398" customFormat="1" ht="15" customHeight="1" x14ac:dyDescent="0.15">
      <c r="B169" s="423" t="str">
        <f t="shared" si="38"/>
        <v/>
      </c>
      <c r="C169" s="423" t="str">
        <f t="shared" si="36"/>
        <v/>
      </c>
      <c r="D169" s="426"/>
      <c r="E169" s="423" t="str">
        <f>+IF(E119="","",E119)</f>
        <v/>
      </c>
      <c r="F169" s="423"/>
      <c r="G169" s="423"/>
      <c r="H169" s="428" t="str">
        <f t="shared" si="37"/>
        <v/>
      </c>
      <c r="I169" s="428" t="str">
        <f t="shared" si="37"/>
        <v/>
      </c>
      <c r="J169" s="424" t="str">
        <f>IFERROR(INDEX(確認申請料金表データ!C$214:Q$241,MATCH(E169,確認申請料金表データ!B$214:B$241,0),MATCH(C169,確認申請料金表データ!C$3:Q$3,0)),"")</f>
        <v/>
      </c>
      <c r="K169" s="425" t="str">
        <f>IFERROR(+J169*H169,"")</f>
        <v/>
      </c>
      <c r="L169" s="422" t="str">
        <f t="shared" si="37"/>
        <v/>
      </c>
    </row>
    <row r="170" spans="2:15" s="398" customFormat="1" ht="15" customHeight="1" x14ac:dyDescent="0.15">
      <c r="B170" s="423" t="str">
        <f t="shared" si="38"/>
        <v/>
      </c>
      <c r="C170" s="423" t="str">
        <f t="shared" si="36"/>
        <v/>
      </c>
      <c r="D170" s="426"/>
      <c r="E170" s="423" t="str">
        <f>+IF(E120="","",E120)</f>
        <v/>
      </c>
      <c r="F170" s="423"/>
      <c r="G170" s="423"/>
      <c r="H170" s="428" t="str">
        <f t="shared" si="37"/>
        <v/>
      </c>
      <c r="I170" s="428" t="str">
        <f t="shared" si="37"/>
        <v/>
      </c>
      <c r="J170" s="424" t="str">
        <f>IFERROR(INDEX(確認申請料金表データ!C$214:Q$241,MATCH(E170,確認申請料金表データ!B$214:B$241,0),MATCH(C170,確認申請料金表データ!C$3:Q$3,0)),"")</f>
        <v/>
      </c>
      <c r="K170" s="425" t="str">
        <f>IFERROR(+J170*H170,"")</f>
        <v/>
      </c>
      <c r="L170" s="422" t="str">
        <f t="shared" si="37"/>
        <v/>
      </c>
      <c r="O170" s="429"/>
    </row>
    <row r="171" spans="2:15" s="398" customFormat="1" ht="15" customHeight="1" x14ac:dyDescent="0.15">
      <c r="B171" s="423" t="str">
        <f t="shared" si="38"/>
        <v/>
      </c>
      <c r="C171" s="423" t="str">
        <f t="shared" si="36"/>
        <v/>
      </c>
      <c r="D171" s="426"/>
      <c r="E171" s="423" t="str">
        <f>+IF(E121="","",E121)</f>
        <v/>
      </c>
      <c r="F171" s="423"/>
      <c r="G171" s="423"/>
      <c r="H171" s="428" t="str">
        <f t="shared" si="37"/>
        <v/>
      </c>
      <c r="I171" s="428" t="str">
        <f t="shared" si="37"/>
        <v/>
      </c>
      <c r="J171" s="424" t="str">
        <f>IFERROR(INDEX(確認申請料金表データ!C$214:Q$241,MATCH(E171,確認申請料金表データ!B$214:B$241,0),MATCH(C171,確認申請料金表データ!C$3:Q$3,0)),"")</f>
        <v/>
      </c>
      <c r="K171" s="425" t="str">
        <f>IFERROR(+J171*H171,"")</f>
        <v/>
      </c>
      <c r="L171" s="422" t="str">
        <f t="shared" si="37"/>
        <v/>
      </c>
      <c r="O171" s="429"/>
    </row>
    <row r="172" spans="2:15" s="398" customFormat="1" ht="15" customHeight="1" x14ac:dyDescent="0.15">
      <c r="B172" s="423" t="str">
        <f t="shared" si="38"/>
        <v>・</v>
      </c>
      <c r="C172" s="423" t="str">
        <f t="shared" si="36"/>
        <v>完了検査(工事完了通知)基本手数料(省エネ適判なし)</v>
      </c>
      <c r="D172" s="426"/>
      <c r="E172" s="426"/>
      <c r="F172" s="423"/>
      <c r="G172" s="423"/>
      <c r="H172" s="428">
        <f t="shared" si="37"/>
        <v>1</v>
      </c>
      <c r="I172" s="428" t="str">
        <f t="shared" si="37"/>
        <v>式</v>
      </c>
      <c r="J172" s="424">
        <f>IFERROR(INDEX(確認申請料金表データ!C$214:Q$241,MATCH($K$16,確認申請料金表データ!B$214:B$241,0),MATCH($C172,確認申請料金表データ!C$3:Q$3,0)),"")</f>
        <v>32000</v>
      </c>
      <c r="K172" s="425">
        <f>IFERROR(+J172*H172,"")</f>
        <v>32000</v>
      </c>
      <c r="L172" s="422" t="str">
        <f t="shared" si="37"/>
        <v>-</v>
      </c>
    </row>
    <row r="173" spans="2:15" s="398" customFormat="1" ht="15" customHeight="1" x14ac:dyDescent="0.15">
      <c r="B173" s="423" t="str">
        <f t="shared" si="38"/>
        <v/>
      </c>
      <c r="C173" s="423" t="str">
        <f t="shared" si="38"/>
        <v/>
      </c>
      <c r="D173" s="426"/>
      <c r="E173" s="426"/>
      <c r="F173" s="423" t="str">
        <f>+IF(F123="","",F123)</f>
        <v/>
      </c>
      <c r="G173" s="423" t="str">
        <f>+IF(G123="","",G123)</f>
        <v/>
      </c>
      <c r="H173" s="428" t="str">
        <f t="shared" ref="H173:I188" si="39">+IF(H123="","",H123)</f>
        <v/>
      </c>
      <c r="I173" s="428" t="str">
        <f t="shared" si="39"/>
        <v/>
      </c>
      <c r="J173" s="424" t="str">
        <f>IFERROR(INDEX(確認申請料金表データ!C$214:Q$241,MATCH($K$16,確認申請料金表データ!B$214:B$241,0),MATCH($C173,確認申請料金表データ!C$3:Q$3,0)),"")</f>
        <v/>
      </c>
      <c r="K173" s="425" t="str">
        <f t="shared" ref="K173" si="40">IFERROR(+J173*H173,"")</f>
        <v/>
      </c>
      <c r="L173" s="422" t="str">
        <f t="shared" ref="L173:L192" si="41">+IF(L123="","",L123)</f>
        <v/>
      </c>
      <c r="M173" s="423" t="str">
        <f>+IF(M123="","",M123)</f>
        <v/>
      </c>
    </row>
    <row r="174" spans="2:15" s="398" customFormat="1" ht="15" customHeight="1" x14ac:dyDescent="0.15">
      <c r="B174" s="423" t="str">
        <f t="shared" si="38"/>
        <v/>
      </c>
      <c r="C174" s="423" t="str">
        <f t="shared" si="38"/>
        <v/>
      </c>
      <c r="D174" s="426"/>
      <c r="E174" s="426"/>
      <c r="F174" s="426"/>
      <c r="G174" s="426"/>
      <c r="H174" s="423" t="str">
        <f t="shared" si="39"/>
        <v/>
      </c>
      <c r="I174" s="423" t="str">
        <f t="shared" si="39"/>
        <v/>
      </c>
      <c r="J174" s="423" t="str">
        <f>+IF(J124="","",J124)</f>
        <v/>
      </c>
      <c r="K174" s="423" t="str">
        <f>+IF(K124="","",K124)</f>
        <v/>
      </c>
      <c r="L174" s="422" t="str">
        <f t="shared" si="41"/>
        <v/>
      </c>
      <c r="M174" s="423" t="str">
        <f>+IF(M124="","",M124)</f>
        <v/>
      </c>
    </row>
    <row r="175" spans="2:15" s="398" customFormat="1" ht="15" customHeight="1" x14ac:dyDescent="0.15">
      <c r="B175" s="423" t="str">
        <f t="shared" si="38"/>
        <v>□</v>
      </c>
      <c r="C175" s="423" t="str">
        <f t="shared" si="38"/>
        <v>加算手数料</v>
      </c>
      <c r="D175" s="426"/>
      <c r="E175" s="426"/>
      <c r="F175" s="426"/>
      <c r="G175" s="426"/>
      <c r="H175" s="428" t="str">
        <f t="shared" si="39"/>
        <v/>
      </c>
      <c r="I175" s="428" t="str">
        <f t="shared" si="39"/>
        <v/>
      </c>
      <c r="J175" s="424"/>
      <c r="K175" s="425"/>
      <c r="L175" s="422" t="str">
        <f t="shared" si="41"/>
        <v/>
      </c>
    </row>
    <row r="176" spans="2:15" s="398" customFormat="1" ht="15" customHeight="1" x14ac:dyDescent="0.15">
      <c r="B176" s="423" t="str">
        <f t="shared" si="38"/>
        <v/>
      </c>
      <c r="C176" s="423" t="str">
        <f t="shared" si="38"/>
        <v/>
      </c>
      <c r="D176" s="426"/>
      <c r="E176" s="426"/>
      <c r="F176" s="426"/>
      <c r="G176" s="426"/>
      <c r="H176" s="428" t="str">
        <f t="shared" si="39"/>
        <v/>
      </c>
      <c r="I176" s="428" t="str">
        <f t="shared" si="39"/>
        <v/>
      </c>
      <c r="J176" s="424" t="str">
        <f>IFERROR(INDEX(確認申請料金表データ!X$214:AN$241,MATCH($K$16,確認申請料金表データ!B$214:B$241,0),MATCH(C176,確認申請料金表データ!X$3:AN$3,0)),"")</f>
        <v/>
      </c>
      <c r="K176" s="425" t="str">
        <f>IFERROR(+J176*H176,"")</f>
        <v/>
      </c>
      <c r="L176" s="422" t="str">
        <f t="shared" si="41"/>
        <v/>
      </c>
    </row>
    <row r="177" spans="2:15" s="398" customFormat="1" ht="15" customHeight="1" x14ac:dyDescent="0.15">
      <c r="B177" s="423" t="str">
        <f t="shared" si="38"/>
        <v/>
      </c>
      <c r="C177" s="423" t="str">
        <f t="shared" si="38"/>
        <v/>
      </c>
      <c r="D177" s="426"/>
      <c r="E177" s="426"/>
      <c r="F177" s="426"/>
      <c r="G177" s="426"/>
      <c r="H177" s="428" t="str">
        <f t="shared" si="39"/>
        <v/>
      </c>
      <c r="I177" s="428" t="str">
        <f t="shared" si="39"/>
        <v/>
      </c>
      <c r="J177" s="424" t="str">
        <f>IFERROR(INDEX(確認申請料金表データ!X$214:AN$241,MATCH($K$16,確認申請料金表データ!B$214:B$241,0),MATCH(C177,確認申請料金表データ!X$3:AN$3,0)),"")</f>
        <v/>
      </c>
      <c r="K177" s="425" t="str">
        <f t="shared" ref="K177:K180" si="42">IFERROR(+J177*H177,"")</f>
        <v/>
      </c>
      <c r="L177" s="422" t="str">
        <f t="shared" si="41"/>
        <v/>
      </c>
      <c r="O177" s="430"/>
    </row>
    <row r="178" spans="2:15" s="398" customFormat="1" ht="15" customHeight="1" x14ac:dyDescent="0.15">
      <c r="B178" s="423" t="str">
        <f t="shared" si="38"/>
        <v/>
      </c>
      <c r="C178" s="423" t="str">
        <f t="shared" si="38"/>
        <v/>
      </c>
      <c r="D178" s="426"/>
      <c r="E178" s="426"/>
      <c r="F178" s="426"/>
      <c r="G178" s="426"/>
      <c r="H178" s="428" t="str">
        <f t="shared" si="39"/>
        <v/>
      </c>
      <c r="I178" s="428" t="str">
        <f t="shared" si="39"/>
        <v/>
      </c>
      <c r="J178" s="424" t="str">
        <f>IFERROR(INDEX(確認申請料金表データ!X$214:AN$241,MATCH($K$16,確認申請料金表データ!B$214:B$241,0),MATCH(C178,確認申請料金表データ!X$3:AN$3,0)),"")</f>
        <v/>
      </c>
      <c r="K178" s="425" t="str">
        <f t="shared" si="42"/>
        <v/>
      </c>
      <c r="L178" s="422" t="str">
        <f t="shared" si="41"/>
        <v/>
      </c>
    </row>
    <row r="179" spans="2:15" s="398" customFormat="1" ht="15" customHeight="1" x14ac:dyDescent="0.15">
      <c r="B179" s="423" t="str">
        <f t="shared" si="38"/>
        <v/>
      </c>
      <c r="C179" s="423" t="str">
        <f t="shared" si="38"/>
        <v/>
      </c>
      <c r="D179" s="426"/>
      <c r="E179" s="426"/>
      <c r="F179" s="426"/>
      <c r="G179" s="426"/>
      <c r="H179" s="428" t="str">
        <f t="shared" si="39"/>
        <v/>
      </c>
      <c r="I179" s="428" t="str">
        <f t="shared" si="39"/>
        <v/>
      </c>
      <c r="J179" s="424" t="str">
        <f>IFERROR(INDEX(確認申請料金表データ!X$214:AN$241,MATCH($K$16,確認申請料金表データ!B$214:B$241,0),MATCH(C179,確認申請料金表データ!X$3:AN$3,0)),"")</f>
        <v/>
      </c>
      <c r="K179" s="425" t="str">
        <f t="shared" si="42"/>
        <v/>
      </c>
      <c r="L179" s="422" t="str">
        <f t="shared" si="41"/>
        <v/>
      </c>
    </row>
    <row r="180" spans="2:15" s="398" customFormat="1" ht="15" customHeight="1" x14ac:dyDescent="0.15">
      <c r="B180" s="423" t="str">
        <f t="shared" si="38"/>
        <v/>
      </c>
      <c r="C180" s="423" t="str">
        <f t="shared" si="38"/>
        <v/>
      </c>
      <c r="D180" s="426"/>
      <c r="E180" s="426"/>
      <c r="F180" s="426"/>
      <c r="G180" s="426"/>
      <c r="H180" s="428" t="str">
        <f t="shared" si="39"/>
        <v/>
      </c>
      <c r="I180" s="428" t="str">
        <f t="shared" si="39"/>
        <v/>
      </c>
      <c r="J180" s="424" t="str">
        <f>IFERROR(INDEX(確認申請料金表データ!X$214:AN$241,MATCH($K$16,確認申請料金表データ!B$214:B$241,0),MATCH(C180,確認申請料金表データ!X$3:AN$3,0)),"")</f>
        <v/>
      </c>
      <c r="K180" s="425" t="str">
        <f t="shared" si="42"/>
        <v/>
      </c>
      <c r="L180" s="422" t="str">
        <f t="shared" si="41"/>
        <v/>
      </c>
    </row>
    <row r="181" spans="2:15" s="398" customFormat="1" ht="15" customHeight="1" x14ac:dyDescent="0.15">
      <c r="B181" s="423" t="str">
        <f t="shared" si="38"/>
        <v/>
      </c>
      <c r="C181" s="423" t="str">
        <f t="shared" si="38"/>
        <v/>
      </c>
      <c r="D181" s="423"/>
      <c r="E181" s="423"/>
      <c r="F181" s="423"/>
      <c r="G181" s="423"/>
      <c r="H181" s="428" t="str">
        <f t="shared" si="39"/>
        <v/>
      </c>
      <c r="I181" s="428" t="str">
        <f t="shared" si="39"/>
        <v/>
      </c>
      <c r="J181" s="424" t="str">
        <f>IFERROR(INDEX(確認申請料金表データ!X$214:AN$241,MATCH($K$16,確認申請料金表データ!B$214:B$241,0),MATCH(C181,確認申請料金表データ!X$3:AN$3,0)),"")</f>
        <v/>
      </c>
      <c r="K181" s="425" t="str">
        <f>IFERROR(+J181*H181,"")</f>
        <v/>
      </c>
      <c r="L181" s="422" t="str">
        <f t="shared" si="41"/>
        <v/>
      </c>
    </row>
    <row r="182" spans="2:15" s="398" customFormat="1" ht="15" customHeight="1" x14ac:dyDescent="0.15">
      <c r="B182" s="423" t="str">
        <f t="shared" si="38"/>
        <v/>
      </c>
      <c r="C182" s="423" t="str">
        <f t="shared" si="38"/>
        <v/>
      </c>
      <c r="D182" s="423"/>
      <c r="E182" s="423"/>
      <c r="F182" s="423"/>
      <c r="G182" s="423"/>
      <c r="H182" s="428" t="str">
        <f t="shared" si="39"/>
        <v/>
      </c>
      <c r="I182" s="428" t="str">
        <f t="shared" si="39"/>
        <v/>
      </c>
      <c r="J182" s="424" t="str">
        <f>IFERROR(INDEX(確認申請料金表データ!X$214:AN$241,MATCH($K$16,確認申請料金表データ!B$214:B$241,0),MATCH(C182,確認申請料金表データ!X$3:AN$3,0)),"")</f>
        <v/>
      </c>
      <c r="K182" s="425" t="str">
        <f>IFERROR(+J182*H182,"")</f>
        <v/>
      </c>
      <c r="L182" s="422" t="str">
        <f t="shared" si="41"/>
        <v/>
      </c>
    </row>
    <row r="183" spans="2:15" s="398" customFormat="1" ht="15" customHeight="1" x14ac:dyDescent="0.15">
      <c r="B183" s="423" t="str">
        <f t="shared" ref="B183:K192" si="43">+IF(B133="","",B133)</f>
        <v/>
      </c>
      <c r="C183" s="423" t="str">
        <f t="shared" si="43"/>
        <v/>
      </c>
      <c r="D183" s="423"/>
      <c r="E183" s="423"/>
      <c r="F183" s="423"/>
      <c r="G183" s="423"/>
      <c r="H183" s="428" t="str">
        <f t="shared" si="39"/>
        <v/>
      </c>
      <c r="I183" s="428" t="str">
        <f t="shared" si="39"/>
        <v/>
      </c>
      <c r="J183" s="424" t="str">
        <f>IFERROR(INDEX(確認申請料金表データ!X$214:AN$241,MATCH($K$16,確認申請料金表データ!B$214:B$241,0),MATCH(C183,確認申請料金表データ!X$3:AN$3,0)),"")</f>
        <v/>
      </c>
      <c r="K183" s="425" t="str">
        <f t="shared" ref="K183" si="44">IFERROR(+J183*H183,"")</f>
        <v/>
      </c>
      <c r="L183" s="422" t="str">
        <f t="shared" si="41"/>
        <v/>
      </c>
    </row>
    <row r="184" spans="2:15" s="398" customFormat="1" ht="15" customHeight="1" x14ac:dyDescent="0.15">
      <c r="B184" s="423" t="str">
        <f t="shared" si="43"/>
        <v/>
      </c>
      <c r="C184" s="423" t="str">
        <f t="shared" si="43"/>
        <v/>
      </c>
      <c r="D184" s="423" t="str">
        <f>+IF(D134="","",D134)</f>
        <v/>
      </c>
      <c r="E184" s="423" t="str">
        <f>+IF(E134="","",E134)</f>
        <v/>
      </c>
      <c r="F184" s="423" t="str">
        <f>+IF(F134="","",F134)</f>
        <v/>
      </c>
      <c r="G184" s="423" t="str">
        <f>+IF(G134="","",G134)</f>
        <v/>
      </c>
      <c r="H184" s="423" t="str">
        <f t="shared" si="39"/>
        <v/>
      </c>
      <c r="I184" s="423" t="str">
        <f t="shared" si="39"/>
        <v/>
      </c>
      <c r="J184" s="423" t="str">
        <f>+IF(J134="","",J134)</f>
        <v/>
      </c>
      <c r="K184" s="423" t="str">
        <f>+IF(K134="","",K134)</f>
        <v/>
      </c>
      <c r="L184" s="422" t="str">
        <f t="shared" si="41"/>
        <v/>
      </c>
      <c r="O184" s="429"/>
    </row>
    <row r="185" spans="2:15" s="398" customFormat="1" ht="15" customHeight="1" x14ac:dyDescent="0.15">
      <c r="B185" s="423" t="str">
        <f t="shared" si="43"/>
        <v>□</v>
      </c>
      <c r="C185" s="423" t="str">
        <f t="shared" si="43"/>
        <v>省エネ基準省令に基づく基準による審査(仕様基準)</v>
      </c>
      <c r="D185" s="426"/>
      <c r="E185" s="426"/>
      <c r="F185" s="426"/>
      <c r="G185" s="426"/>
      <c r="H185" s="428" t="str">
        <f t="shared" si="39"/>
        <v/>
      </c>
      <c r="I185" s="428" t="str">
        <f t="shared" si="39"/>
        <v/>
      </c>
      <c r="J185" s="424"/>
      <c r="K185" s="425"/>
      <c r="L185" s="422" t="str">
        <f t="shared" si="41"/>
        <v/>
      </c>
    </row>
    <row r="186" spans="2:15" s="398" customFormat="1" ht="15" customHeight="1" x14ac:dyDescent="0.15">
      <c r="B186" s="423" t="str">
        <f t="shared" si="43"/>
        <v/>
      </c>
      <c r="C186" s="423" t="str">
        <f t="shared" si="43"/>
        <v/>
      </c>
      <c r="D186" s="426"/>
      <c r="E186" s="426"/>
      <c r="F186" s="426"/>
      <c r="G186" s="426"/>
      <c r="H186" s="428" t="str">
        <f t="shared" si="39"/>
        <v/>
      </c>
      <c r="I186" s="428" t="str">
        <f t="shared" si="39"/>
        <v/>
      </c>
      <c r="J186" s="424" t="str">
        <f>IFERROR(INDEX(確認申請料金表データ!S$214:V$241,MATCH($K$16,確認申請料金表データ!B$214:B$241,0),MATCH($C186,確認申請料金表データ!S$3:V$3,0)),"")</f>
        <v/>
      </c>
      <c r="K186" s="425" t="str">
        <f t="shared" ref="K186:K187" si="45">IFERROR(+J186*H186,"")</f>
        <v/>
      </c>
      <c r="L186" s="422" t="str">
        <f t="shared" si="41"/>
        <v/>
      </c>
    </row>
    <row r="187" spans="2:15" s="398" customFormat="1" ht="15" customHeight="1" x14ac:dyDescent="0.15">
      <c r="B187" s="423" t="str">
        <f t="shared" si="43"/>
        <v/>
      </c>
      <c r="C187" s="423" t="str">
        <f t="shared" si="43"/>
        <v/>
      </c>
      <c r="D187" s="426"/>
      <c r="E187" s="426"/>
      <c r="F187" s="426"/>
      <c r="G187" s="426"/>
      <c r="H187" s="428" t="str">
        <f t="shared" si="39"/>
        <v/>
      </c>
      <c r="I187" s="428" t="str">
        <f t="shared" si="39"/>
        <v/>
      </c>
      <c r="J187" s="424" t="str">
        <f>IFERROR(INDEX(確認申請料金表データ!S$214:V$241,MATCH($K$16,確認申請料金表データ!B$214:B$241,0),MATCH($C187,確認申請料金表データ!S$3:V$3,0)),"")</f>
        <v/>
      </c>
      <c r="K187" s="425" t="str">
        <f t="shared" si="45"/>
        <v/>
      </c>
      <c r="L187" s="422" t="str">
        <f t="shared" si="41"/>
        <v/>
      </c>
    </row>
    <row r="188" spans="2:15" s="398" customFormat="1" ht="15" customHeight="1" x14ac:dyDescent="0.15">
      <c r="B188" s="423" t="str">
        <f t="shared" si="43"/>
        <v/>
      </c>
      <c r="C188" s="423" t="str">
        <f t="shared" si="43"/>
        <v/>
      </c>
      <c r="D188" s="426"/>
      <c r="E188" s="426"/>
      <c r="F188" s="426"/>
      <c r="G188" s="426"/>
      <c r="H188" s="422" t="str">
        <f t="shared" si="39"/>
        <v/>
      </c>
      <c r="I188" s="422" t="str">
        <f t="shared" si="39"/>
        <v/>
      </c>
      <c r="J188" s="422" t="str">
        <f>+IF(J138="","",J138)</f>
        <v/>
      </c>
      <c r="K188" s="422" t="str">
        <f>+IF(K138="","",K138)</f>
        <v/>
      </c>
      <c r="L188" s="422" t="str">
        <f t="shared" si="41"/>
        <v/>
      </c>
    </row>
    <row r="189" spans="2:15" s="398" customFormat="1" ht="15" customHeight="1" x14ac:dyDescent="0.15">
      <c r="B189" s="423" t="str">
        <f t="shared" si="43"/>
        <v/>
      </c>
      <c r="C189" s="423" t="str">
        <f t="shared" si="43"/>
        <v/>
      </c>
      <c r="D189" s="431"/>
      <c r="E189" s="431"/>
      <c r="F189" s="431"/>
      <c r="G189" s="431"/>
      <c r="H189" s="432" t="s">
        <v>21</v>
      </c>
      <c r="I189" s="433"/>
      <c r="J189" s="433"/>
      <c r="K189" s="434">
        <f>SUM(K168:K187)</f>
        <v>68000</v>
      </c>
      <c r="L189" s="422" t="str">
        <f t="shared" si="41"/>
        <v>-</v>
      </c>
    </row>
    <row r="190" spans="2:15" s="398" customFormat="1" ht="15" customHeight="1" x14ac:dyDescent="0.15">
      <c r="B190" s="435" t="str">
        <f t="shared" si="43"/>
        <v>□</v>
      </c>
      <c r="C190" s="436" t="str">
        <f t="shared" si="43"/>
        <v>出張費及び交通費（当機関規定による）【課税対象、消費税込み】</v>
      </c>
      <c r="D190" s="437" t="str">
        <f t="shared" si="43"/>
        <v/>
      </c>
      <c r="E190" s="437" t="str">
        <f t="shared" si="43"/>
        <v/>
      </c>
      <c r="F190" s="437" t="str">
        <f t="shared" si="43"/>
        <v/>
      </c>
      <c r="G190" s="437" t="str">
        <f t="shared" si="43"/>
        <v/>
      </c>
      <c r="H190" s="438" t="str">
        <f t="shared" si="43"/>
        <v/>
      </c>
      <c r="I190" s="435" t="str">
        <f t="shared" si="43"/>
        <v/>
      </c>
      <c r="J190" s="439" t="str">
        <f t="shared" si="43"/>
        <v/>
      </c>
      <c r="K190" s="439" t="str">
        <f t="shared" si="43"/>
        <v/>
      </c>
      <c r="L190" s="435" t="str">
        <f t="shared" si="41"/>
        <v/>
      </c>
      <c r="M190" s="398" t="str">
        <f>+IF(M140="","",M140)</f>
        <v/>
      </c>
      <c r="N190" s="398" t="str">
        <f>+IF(N140="","",N140)</f>
        <v/>
      </c>
    </row>
    <row r="191" spans="2:15" s="398" customFormat="1" ht="15" customHeight="1" x14ac:dyDescent="0.15">
      <c r="B191" s="440" t="str">
        <f t="shared" si="43"/>
        <v/>
      </c>
      <c r="C191" s="440" t="str">
        <f t="shared" si="43"/>
        <v>出張交通費</v>
      </c>
      <c r="D191" s="441" t="str">
        <f t="shared" si="43"/>
        <v>東京都</v>
      </c>
      <c r="E191" s="426" t="str">
        <f t="shared" si="43"/>
        <v/>
      </c>
      <c r="F191" s="426" t="str">
        <f t="shared" si="43"/>
        <v/>
      </c>
      <c r="G191" s="442" t="str">
        <f t="shared" si="43"/>
        <v/>
      </c>
      <c r="H191" s="443">
        <f t="shared" si="43"/>
        <v>1</v>
      </c>
      <c r="I191" s="428" t="str">
        <f t="shared" si="43"/>
        <v>回</v>
      </c>
      <c r="J191" s="444">
        <f t="shared" si="43"/>
        <v>2200</v>
      </c>
      <c r="K191" s="425">
        <f t="shared" si="43"/>
        <v>2200</v>
      </c>
      <c r="L191" s="445" t="str">
        <f t="shared" si="41"/>
        <v>-</v>
      </c>
      <c r="M191" s="398" t="str">
        <f>+IF(M141="","",M141)</f>
        <v/>
      </c>
      <c r="O191" s="429"/>
    </row>
    <row r="192" spans="2:15" s="398" customFormat="1" ht="15" customHeight="1" x14ac:dyDescent="0.15">
      <c r="B192" s="446" t="str">
        <f t="shared" si="43"/>
        <v/>
      </c>
      <c r="C192" s="447" t="str">
        <f t="shared" si="43"/>
        <v/>
      </c>
      <c r="D192" s="447" t="str">
        <f>+IF(D142="","",D142)</f>
        <v/>
      </c>
      <c r="E192" s="447" t="str">
        <f>+IF(E142="","",E142)</f>
        <v/>
      </c>
      <c r="F192" s="447" t="str">
        <f>+IF(F142="","",F142)</f>
        <v/>
      </c>
      <c r="G192" s="447" t="str">
        <f>+IF(G142="","",G142)</f>
        <v/>
      </c>
      <c r="H192" s="448" t="str">
        <f>+IF(H142="","",H142)</f>
        <v>合     計</v>
      </c>
      <c r="I192" s="448"/>
      <c r="J192" s="449"/>
      <c r="K192" s="450">
        <f>+IF(K142="","",K142)</f>
        <v>2200</v>
      </c>
      <c r="L192" s="446" t="str">
        <f t="shared" si="41"/>
        <v>-</v>
      </c>
      <c r="M192" s="398" t="str">
        <f>+IF(M142="","",M142)</f>
        <v/>
      </c>
      <c r="N192" s="398" t="str">
        <f>+IF(N142="","",N142)</f>
        <v/>
      </c>
    </row>
    <row r="193" spans="2:27" s="398" customFormat="1" ht="15" customHeight="1" thickBot="1" x14ac:dyDescent="0.2">
      <c r="C193" s="398" t="s">
        <v>91</v>
      </c>
      <c r="H193" s="451" t="s">
        <v>2</v>
      </c>
      <c r="I193" s="451"/>
      <c r="J193" s="451"/>
      <c r="K193" s="452">
        <f>K189+K192</f>
        <v>70200</v>
      </c>
      <c r="L193" s="453" t="s">
        <v>1</v>
      </c>
    </row>
    <row r="194" spans="2:27" s="398" customFormat="1" ht="15" customHeight="1" thickTop="1" x14ac:dyDescent="0.15">
      <c r="B194" s="409"/>
      <c r="C194" s="412" t="s">
        <v>19</v>
      </c>
      <c r="I194" s="454"/>
      <c r="J194" s="454"/>
      <c r="K194" s="455"/>
      <c r="L194" s="412"/>
    </row>
    <row r="195" spans="2:27" s="398" customFormat="1" ht="15" customHeight="1" x14ac:dyDescent="0.15">
      <c r="C195" s="412" t="s">
        <v>22</v>
      </c>
    </row>
    <row r="196" spans="2:27" s="398" customFormat="1" ht="15" customHeight="1" x14ac:dyDescent="0.15">
      <c r="C196" s="412" t="s">
        <v>16</v>
      </c>
    </row>
    <row r="197" spans="2:27" s="398" customFormat="1" ht="15" customHeight="1" x14ac:dyDescent="0.15">
      <c r="C197" s="412" t="s">
        <v>20</v>
      </c>
    </row>
    <row r="198" spans="2:27" s="398" customFormat="1" ht="15" customHeight="1" x14ac:dyDescent="0.15">
      <c r="C198" s="412" t="s">
        <v>18</v>
      </c>
    </row>
    <row r="199" spans="2:27" s="392" customFormat="1" ht="15" customHeight="1" x14ac:dyDescent="0.15">
      <c r="C199" s="398"/>
      <c r="K199" s="456"/>
      <c r="O199" s="398"/>
    </row>
    <row r="200" spans="2:27" s="392" customFormat="1" ht="16.5" customHeight="1" x14ac:dyDescent="0.15">
      <c r="L200" s="456" t="s">
        <v>32</v>
      </c>
    </row>
    <row r="201" spans="2:27" s="392" customFormat="1" ht="19.5" customHeight="1" x14ac:dyDescent="0.15">
      <c r="B201" s="388" t="s">
        <v>29</v>
      </c>
      <c r="C201" s="389"/>
      <c r="D201" s="388"/>
      <c r="E201" s="390"/>
      <c r="F201" s="390"/>
      <c r="G201" s="390"/>
      <c r="H201" s="389"/>
      <c r="I201" s="389"/>
      <c r="J201" s="389"/>
      <c r="K201" s="389"/>
      <c r="L201" s="391" t="str">
        <f>+確認申請料金表データ!A315</f>
        <v>4.特約　確認および検査手数料30％off（加算手数料は通常通り）</v>
      </c>
      <c r="O201" s="393"/>
      <c r="P201" s="394"/>
      <c r="Q201" s="394"/>
      <c r="R201" s="394"/>
      <c r="S201" s="394"/>
      <c r="T201" s="393"/>
      <c r="U201" s="394"/>
      <c r="V201" s="394"/>
      <c r="W201" s="394"/>
      <c r="X201" s="394"/>
      <c r="Y201" s="394"/>
      <c r="Z201" s="394"/>
      <c r="AA201" s="394"/>
    </row>
    <row r="202" spans="2:27" s="392" customFormat="1" ht="15" customHeight="1" x14ac:dyDescent="0.15">
      <c r="E202" s="395"/>
      <c r="F202" s="395"/>
      <c r="G202" s="395"/>
      <c r="H202" s="395"/>
      <c r="I202" s="395"/>
      <c r="J202" s="762">
        <f ca="1">TODAY()</f>
        <v>45848</v>
      </c>
      <c r="K202" s="762"/>
      <c r="L202" s="395"/>
    </row>
    <row r="203" spans="2:27" s="392" customFormat="1" ht="15" customHeight="1" x14ac:dyDescent="0.15">
      <c r="E203" s="395"/>
      <c r="F203" s="395"/>
      <c r="G203" s="395"/>
      <c r="H203" s="395"/>
      <c r="I203" s="395"/>
      <c r="J203" s="396"/>
      <c r="K203" s="396"/>
      <c r="L203" s="395"/>
    </row>
    <row r="204" spans="2:27" s="392" customFormat="1" ht="15" customHeight="1" x14ac:dyDescent="0.15">
      <c r="C204" s="759" t="str">
        <f>+入力シート!$E$9&amp;"　　"&amp;入力シート!$G$9</f>
        <v>　　御中</v>
      </c>
      <c r="D204" s="759"/>
    </row>
    <row r="205" spans="2:27" s="392" customFormat="1" ht="15" customHeight="1" x14ac:dyDescent="0.15">
      <c r="C205" s="397" t="str">
        <f t="shared" ref="C205:C213" si="46">+IF(C155="","",C155)</f>
        <v/>
      </c>
    </row>
    <row r="206" spans="2:27" s="392" customFormat="1" ht="15" customHeight="1" x14ac:dyDescent="0.15">
      <c r="C206" s="392" t="str">
        <f t="shared" si="46"/>
        <v/>
      </c>
      <c r="H206" s="398" t="str">
        <f>+IF(H156="","",H156)</f>
        <v>〒150-0002  東京都渋谷区渋谷1-13-9</v>
      </c>
      <c r="I206" s="399"/>
    </row>
    <row r="207" spans="2:27" s="392" customFormat="1" ht="15" customHeight="1" x14ac:dyDescent="0.15">
      <c r="B207" s="392" t="str">
        <f t="shared" ref="B207:C222" si="47">+IF(B157="","",B157)</f>
        <v/>
      </c>
      <c r="C207" s="392" t="str">
        <f t="shared" si="46"/>
        <v/>
      </c>
      <c r="E207" s="392" t="str">
        <f t="shared" ref="E207:L222" si="48">+IF(E157="","",E157)</f>
        <v/>
      </c>
      <c r="F207" s="392" t="str">
        <f t="shared" si="48"/>
        <v/>
      </c>
      <c r="G207" s="392" t="str">
        <f t="shared" si="48"/>
        <v/>
      </c>
      <c r="H207" s="392" t="str">
        <f>+IF(H157="","",H157)</f>
        <v>株式会社 J 建築検査センター</v>
      </c>
      <c r="I207" s="400"/>
      <c r="L207" s="401"/>
      <c r="M207" s="401"/>
    </row>
    <row r="208" spans="2:27" s="392" customFormat="1" ht="15" customHeight="1" x14ac:dyDescent="0.15">
      <c r="B208" s="392" t="str">
        <f t="shared" si="47"/>
        <v/>
      </c>
      <c r="C208" s="392" t="str">
        <f t="shared" si="46"/>
        <v/>
      </c>
      <c r="E208" s="392" t="str">
        <f t="shared" si="48"/>
        <v/>
      </c>
      <c r="F208" s="392" t="str">
        <f t="shared" si="48"/>
        <v/>
      </c>
      <c r="G208" s="392" t="str">
        <f t="shared" si="48"/>
        <v/>
      </c>
      <c r="H208" s="398" t="str">
        <f>+IF(H158="","",H158)</f>
        <v>TEL:03-5464-7778　FAX:03-5464-7779</v>
      </c>
      <c r="I208" s="400"/>
      <c r="M208" s="392" t="str">
        <f>+IF(M158="","",M158)</f>
        <v/>
      </c>
    </row>
    <row r="209" spans="2:15" s="392" customFormat="1" ht="15" customHeight="1" x14ac:dyDescent="0.15">
      <c r="B209" s="392" t="str">
        <f t="shared" si="47"/>
        <v/>
      </c>
      <c r="C209" s="402" t="str">
        <f t="shared" si="46"/>
        <v>下記の通り、お見積申し上げます。</v>
      </c>
      <c r="E209" s="392" t="str">
        <f t="shared" si="48"/>
        <v/>
      </c>
      <c r="F209" s="392" t="str">
        <f t="shared" si="48"/>
        <v/>
      </c>
      <c r="G209" s="392" t="str">
        <f t="shared" si="48"/>
        <v/>
      </c>
      <c r="I209" s="400"/>
      <c r="M209" s="392" t="str">
        <f>+IF(M159="","",M159)</f>
        <v/>
      </c>
    </row>
    <row r="210" spans="2:15" s="392" customFormat="1" ht="11.25" customHeight="1" x14ac:dyDescent="0.15">
      <c r="B210" s="392" t="str">
        <f t="shared" si="47"/>
        <v/>
      </c>
      <c r="C210" s="403" t="str">
        <f t="shared" si="46"/>
        <v/>
      </c>
      <c r="D210" s="403"/>
      <c r="E210" s="403" t="str">
        <f t="shared" si="48"/>
        <v/>
      </c>
      <c r="F210" s="403" t="str">
        <f t="shared" si="48"/>
        <v/>
      </c>
      <c r="G210" s="403" t="str">
        <f t="shared" si="48"/>
        <v/>
      </c>
      <c r="H210" s="403"/>
      <c r="I210" s="403"/>
      <c r="J210" s="403"/>
      <c r="K210" s="403"/>
    </row>
    <row r="211" spans="2:15" s="394" customFormat="1" ht="24" customHeight="1" x14ac:dyDescent="0.15">
      <c r="B211" s="394" t="str">
        <f t="shared" si="47"/>
        <v/>
      </c>
      <c r="C211" s="404" t="str">
        <f t="shared" si="46"/>
        <v>件       名</v>
      </c>
      <c r="D211" s="479">
        <f>+IF(D161="","",D161)</f>
        <v>0</v>
      </c>
      <c r="E211" s="480" t="str">
        <f t="shared" si="48"/>
        <v/>
      </c>
      <c r="F211" s="480" t="str">
        <f t="shared" si="48"/>
        <v/>
      </c>
      <c r="G211" s="480" t="str">
        <f t="shared" si="48"/>
        <v/>
      </c>
      <c r="H211" s="480" t="str">
        <f t="shared" si="48"/>
        <v/>
      </c>
      <c r="I211" s="480" t="str">
        <f t="shared" si="48"/>
        <v/>
      </c>
      <c r="J211" s="480" t="str">
        <f t="shared" si="48"/>
        <v/>
      </c>
      <c r="K211" s="480" t="str">
        <f t="shared" si="48"/>
        <v/>
      </c>
      <c r="L211" s="394" t="str">
        <f t="shared" si="48"/>
        <v/>
      </c>
    </row>
    <row r="212" spans="2:15" s="394" customFormat="1" ht="24" customHeight="1" x14ac:dyDescent="0.15">
      <c r="B212" s="394" t="str">
        <f t="shared" si="47"/>
        <v/>
      </c>
      <c r="C212" s="405" t="str">
        <f t="shared" si="46"/>
        <v>総　　　額</v>
      </c>
      <c r="D212" s="406">
        <f>+K243</f>
        <v>61700</v>
      </c>
      <c r="E212" s="407" t="str">
        <f t="shared" si="48"/>
        <v>-</v>
      </c>
      <c r="F212" s="407" t="str">
        <f t="shared" si="48"/>
        <v/>
      </c>
      <c r="G212" s="407" t="str">
        <f t="shared" si="48"/>
        <v/>
      </c>
      <c r="H212" s="407" t="str">
        <f t="shared" si="48"/>
        <v/>
      </c>
      <c r="I212" s="408" t="str">
        <f t="shared" si="48"/>
        <v/>
      </c>
      <c r="J212" s="408" t="str">
        <f t="shared" si="48"/>
        <v/>
      </c>
      <c r="K212" s="408" t="str">
        <f t="shared" si="48"/>
        <v/>
      </c>
      <c r="L212" s="394" t="str">
        <f t="shared" si="48"/>
        <v/>
      </c>
    </row>
    <row r="213" spans="2:15" s="398" customFormat="1" ht="15" customHeight="1" x14ac:dyDescent="0.15">
      <c r="B213" s="409" t="str">
        <f t="shared" si="47"/>
        <v/>
      </c>
      <c r="C213" s="410" t="str">
        <f t="shared" si="46"/>
        <v>御見積書有効期限：</v>
      </c>
      <c r="D213" s="411" t="str">
        <f>+IF(D163="","",D163)</f>
        <v>1ヶ月</v>
      </c>
      <c r="E213" s="412" t="str">
        <f t="shared" si="48"/>
        <v>御支払条件：</v>
      </c>
      <c r="F213" s="410" t="str">
        <f t="shared" si="48"/>
        <v/>
      </c>
      <c r="G213" s="481" t="str">
        <f t="shared" si="48"/>
        <v/>
      </c>
      <c r="H213" s="482" t="str">
        <f t="shared" si="48"/>
        <v/>
      </c>
      <c r="I213" s="482" t="str">
        <f t="shared" si="48"/>
        <v/>
      </c>
      <c r="J213" s="482" t="str">
        <f t="shared" si="48"/>
        <v/>
      </c>
      <c r="K213" s="482" t="str">
        <f t="shared" si="48"/>
        <v/>
      </c>
      <c r="L213" s="398" t="str">
        <f t="shared" si="48"/>
        <v/>
      </c>
      <c r="M213" s="398" t="str">
        <f>+IF(M163="","",M163)</f>
        <v/>
      </c>
      <c r="O213" s="394"/>
    </row>
    <row r="214" spans="2:15" s="398" customFormat="1" ht="15" customHeight="1" x14ac:dyDescent="0.15">
      <c r="B214" s="483" t="str">
        <f t="shared" si="47"/>
        <v>品    名　・　摘    要</v>
      </c>
      <c r="C214" s="483"/>
      <c r="D214" s="483" t="str">
        <f>+IF(D164="","",D164)</f>
        <v/>
      </c>
      <c r="E214" s="483" t="str">
        <f t="shared" si="48"/>
        <v/>
      </c>
      <c r="F214" s="483" t="str">
        <f t="shared" si="48"/>
        <v/>
      </c>
      <c r="G214" s="483" t="str">
        <f t="shared" si="48"/>
        <v/>
      </c>
      <c r="H214" s="413" t="str">
        <f t="shared" si="48"/>
        <v>数  量</v>
      </c>
      <c r="I214" s="414" t="str">
        <f t="shared" si="48"/>
        <v>単位</v>
      </c>
      <c r="J214" s="415" t="str">
        <f t="shared" si="48"/>
        <v>単     価</v>
      </c>
      <c r="K214" s="484" t="str">
        <f t="shared" si="48"/>
        <v>金        額</v>
      </c>
      <c r="L214" s="483" t="str">
        <f t="shared" si="48"/>
        <v/>
      </c>
      <c r="M214" s="398" t="str">
        <f>+IF(M164="","",M164)</f>
        <v/>
      </c>
      <c r="O214" s="394"/>
    </row>
    <row r="215" spans="2:15" s="398" customFormat="1" ht="15" customHeight="1" x14ac:dyDescent="0.15">
      <c r="B215" s="416" t="str">
        <f t="shared" si="47"/>
        <v/>
      </c>
      <c r="C215" s="417" t="str">
        <f t="shared" si="47"/>
        <v>'地名・地番:</v>
      </c>
      <c r="D215" s="485" t="str">
        <f>+IF(D165="","",D165)</f>
        <v>東京都</v>
      </c>
      <c r="E215" s="486" t="str">
        <f t="shared" si="48"/>
        <v/>
      </c>
      <c r="F215" s="486" t="str">
        <f t="shared" si="48"/>
        <v/>
      </c>
      <c r="G215" s="486" t="str">
        <f t="shared" si="48"/>
        <v/>
      </c>
      <c r="H215" s="418" t="e">
        <f t="shared" si="48"/>
        <v>#REF!</v>
      </c>
      <c r="I215" s="418"/>
      <c r="J215" s="419" t="str">
        <f t="shared" si="48"/>
        <v>一戸建ての住宅</v>
      </c>
      <c r="K215" s="420" t="str">
        <f t="shared" si="48"/>
        <v/>
      </c>
      <c r="L215" s="420" t="str">
        <f t="shared" si="48"/>
        <v/>
      </c>
      <c r="O215" s="394"/>
    </row>
    <row r="216" spans="2:15" s="398" customFormat="1" ht="15" customHeight="1" x14ac:dyDescent="0.15">
      <c r="B216" s="421" t="str">
        <f>+IF(B169="","",B169)</f>
        <v/>
      </c>
      <c r="C216" s="419" t="str">
        <f t="shared" si="47"/>
        <v>構造・規模:</v>
      </c>
      <c r="D216" s="419" t="str">
        <f>+IF(D166="","",D166)</f>
        <v>木造</v>
      </c>
      <c r="E216" s="419" t="str">
        <f t="shared" si="48"/>
        <v>：地上</v>
      </c>
      <c r="F216" s="419">
        <f t="shared" si="48"/>
        <v>2</v>
      </c>
      <c r="G216" s="419" t="str">
        <f t="shared" si="48"/>
        <v>階、地下</v>
      </c>
      <c r="H216" s="419" t="str">
        <f t="shared" si="48"/>
        <v>-</v>
      </c>
      <c r="I216" s="419" t="str">
        <f t="shared" si="48"/>
        <v>階</v>
      </c>
      <c r="J216" s="419" t="str">
        <f t="shared" si="48"/>
        <v>：延べ面積</v>
      </c>
      <c r="K216" s="419" t="str">
        <f t="shared" si="48"/>
        <v>0-100㎡以内(3号)</v>
      </c>
      <c r="L216" s="422" t="str">
        <f t="shared" si="48"/>
        <v/>
      </c>
      <c r="O216" s="394"/>
    </row>
    <row r="217" spans="2:15" s="398" customFormat="1" ht="15" customHeight="1" x14ac:dyDescent="0.15">
      <c r="B217" s="423" t="str">
        <f>+IF(B167="","",B167)</f>
        <v>■</v>
      </c>
      <c r="C217" s="423" t="str">
        <f t="shared" si="47"/>
        <v>確認申請業務【非課税】</v>
      </c>
      <c r="D217" s="423" t="str">
        <f>+IF(D167="","",D167)</f>
        <v/>
      </c>
      <c r="E217" s="423" t="str">
        <f t="shared" si="48"/>
        <v/>
      </c>
      <c r="F217" s="423" t="str">
        <f t="shared" si="48"/>
        <v/>
      </c>
      <c r="G217" s="423" t="str">
        <f t="shared" si="48"/>
        <v/>
      </c>
      <c r="H217" s="423" t="str">
        <f t="shared" si="48"/>
        <v/>
      </c>
      <c r="I217" s="423" t="str">
        <f t="shared" si="48"/>
        <v/>
      </c>
      <c r="J217" s="424"/>
      <c r="K217" s="425"/>
      <c r="L217" s="422" t="str">
        <f>+IF(L167="","",L167)</f>
        <v/>
      </c>
    </row>
    <row r="218" spans="2:15" s="398" customFormat="1" ht="15" customHeight="1" x14ac:dyDescent="0.15">
      <c r="B218" s="423" t="str">
        <f>+IF(B168="","",B168)</f>
        <v>・</v>
      </c>
      <c r="C218" s="423" t="str">
        <f t="shared" si="47"/>
        <v>確認申請(計画通知)基本手数料</v>
      </c>
      <c r="D218" s="426"/>
      <c r="E218" s="427"/>
      <c r="F218" s="427"/>
      <c r="G218" s="427"/>
      <c r="H218" s="428">
        <f t="shared" si="48"/>
        <v>1</v>
      </c>
      <c r="I218" s="428" t="str">
        <f t="shared" si="48"/>
        <v>式</v>
      </c>
      <c r="J218" s="424">
        <f>IFERROR(INDEX(確認申請料金表データ!C$318:Q$341,MATCH($K$16,確認申請料金表データ!B$318:B$341,0),MATCH($C218,確認申請料金表データ!C$3:Q$3,0)),"")</f>
        <v>31499.999999999996</v>
      </c>
      <c r="K218" s="425">
        <f>IFERROR(+J218*H218,"")</f>
        <v>31499.999999999996</v>
      </c>
      <c r="L218" s="422" t="str">
        <f>+IF(L168="","",L168)</f>
        <v>-</v>
      </c>
    </row>
    <row r="219" spans="2:15" s="398" customFormat="1" ht="15" customHeight="1" x14ac:dyDescent="0.15">
      <c r="B219" s="423" t="str">
        <f>+IF(B169="","",B169)</f>
        <v/>
      </c>
      <c r="C219" s="423" t="str">
        <f t="shared" si="47"/>
        <v/>
      </c>
      <c r="D219" s="426"/>
      <c r="E219" s="423" t="str">
        <f>+IF(E169="","",E169)</f>
        <v/>
      </c>
      <c r="F219" s="427"/>
      <c r="G219" s="427"/>
      <c r="H219" s="428" t="str">
        <f t="shared" si="48"/>
        <v/>
      </c>
      <c r="I219" s="428" t="str">
        <f t="shared" si="48"/>
        <v/>
      </c>
      <c r="J219" s="424" t="str">
        <f>IFERROR(INDEX(確認申請料金表データ!C$318:Q$345,MATCH(E219,確認申請料金表データ!B$318:B$345,0),MATCH(C219,確認申請料金表データ!C$3:Q$3,0)),"")</f>
        <v/>
      </c>
      <c r="K219" s="425" t="str">
        <f>IFERROR(+J219*H219,"")</f>
        <v/>
      </c>
      <c r="L219" s="422" t="str">
        <f>+IF(L169="","",L169)</f>
        <v/>
      </c>
    </row>
    <row r="220" spans="2:15" s="398" customFormat="1" ht="15" customHeight="1" x14ac:dyDescent="0.15">
      <c r="B220" s="423" t="str">
        <f>+IF(B170="","",B170)</f>
        <v/>
      </c>
      <c r="C220" s="423" t="str">
        <f t="shared" si="47"/>
        <v/>
      </c>
      <c r="D220" s="426"/>
      <c r="E220" s="423" t="str">
        <f>+IF(E170="","",E170)</f>
        <v/>
      </c>
      <c r="F220" s="427"/>
      <c r="G220" s="427"/>
      <c r="H220" s="428" t="str">
        <f t="shared" si="48"/>
        <v/>
      </c>
      <c r="I220" s="428" t="str">
        <f t="shared" si="48"/>
        <v/>
      </c>
      <c r="J220" s="424" t="str">
        <f>IFERROR(INDEX(確認申請料金表データ!C$318:Q$345,MATCH(E220,確認申請料金表データ!B$318:B$345,0),MATCH(C220,確認申請料金表データ!C$3:Q$3,0)),"")</f>
        <v/>
      </c>
      <c r="K220" s="425" t="str">
        <f>IFERROR(+J220*H220,"")</f>
        <v/>
      </c>
      <c r="L220" s="422" t="str">
        <f>+IF(L170="","",L170)</f>
        <v/>
      </c>
      <c r="O220" s="429"/>
    </row>
    <row r="221" spans="2:15" s="398" customFormat="1" ht="15" customHeight="1" x14ac:dyDescent="0.15">
      <c r="B221" s="423" t="str">
        <f>+IF(B172="","",B172)</f>
        <v>・</v>
      </c>
      <c r="C221" s="423" t="str">
        <f t="shared" si="47"/>
        <v/>
      </c>
      <c r="D221" s="426"/>
      <c r="E221" s="423" t="str">
        <f>+IF(E171="","",E171)</f>
        <v/>
      </c>
      <c r="F221" s="427"/>
      <c r="G221" s="427"/>
      <c r="H221" s="428" t="str">
        <f t="shared" si="48"/>
        <v/>
      </c>
      <c r="I221" s="428" t="str">
        <f t="shared" si="48"/>
        <v/>
      </c>
      <c r="J221" s="424" t="str">
        <f>IFERROR(INDEX(確認申請料金表データ!C$422:Q$448,MATCH(E221,確認申請料金表データ!B$422:B$448,0),MATCH(C221,確認申請料金表データ!C$3:Q$3,0)),"")</f>
        <v/>
      </c>
      <c r="K221" s="425" t="str">
        <f>IFERROR(+J221*H221,"")</f>
        <v/>
      </c>
      <c r="L221" s="422" t="str">
        <f>+IF(L172="","",L172)</f>
        <v>-</v>
      </c>
      <c r="O221" s="429"/>
    </row>
    <row r="222" spans="2:15" s="398" customFormat="1" ht="15" customHeight="1" x14ac:dyDescent="0.15">
      <c r="B222" s="423" t="str">
        <f t="shared" ref="B222:C237" si="49">+IF(B172="","",B172)</f>
        <v>・</v>
      </c>
      <c r="C222" s="423" t="str">
        <f t="shared" si="47"/>
        <v>完了検査(工事完了通知)基本手数料(省エネ適判なし)</v>
      </c>
      <c r="D222" s="426"/>
      <c r="E222" s="426"/>
      <c r="F222" s="427"/>
      <c r="G222" s="427"/>
      <c r="H222" s="428">
        <f t="shared" si="48"/>
        <v>1</v>
      </c>
      <c r="I222" s="428" t="str">
        <f t="shared" si="48"/>
        <v>式</v>
      </c>
      <c r="J222" s="424">
        <f>IFERROR(INDEX(確認申請料金表データ!C$318:Q$345,MATCH($K$16,確認申請料金表データ!B$318:B$345,0),MATCH($C222,確認申請料金表データ!C$3:Q$3,0)),"")</f>
        <v>28000</v>
      </c>
      <c r="K222" s="425">
        <f>IFERROR(+J222*H222,"")</f>
        <v>28000</v>
      </c>
      <c r="L222" s="422" t="str">
        <f t="shared" ref="L222:L237" si="50">+IF(L172="","",L172)</f>
        <v>-</v>
      </c>
    </row>
    <row r="223" spans="2:15" s="398" customFormat="1" ht="15" customHeight="1" x14ac:dyDescent="0.15">
      <c r="B223" s="423" t="str">
        <f t="shared" si="49"/>
        <v/>
      </c>
      <c r="C223" s="423" t="str">
        <f t="shared" si="49"/>
        <v/>
      </c>
      <c r="D223" s="426"/>
      <c r="E223" s="426"/>
      <c r="F223" s="426"/>
      <c r="G223" s="426"/>
      <c r="H223" s="428" t="str">
        <f t="shared" ref="H223:L238" si="51">+IF(H173="","",H173)</f>
        <v/>
      </c>
      <c r="I223" s="428" t="str">
        <f t="shared" si="51"/>
        <v/>
      </c>
      <c r="J223" s="424" t="str">
        <f>IFERROR(INDEX(確認申請料金表データ!C$318:Q$345,MATCH($K$16,確認申請料金表データ!B$318:B$345,0),MATCH($C223,確認申請料金表データ!C$3:Q$3,0)),"")</f>
        <v/>
      </c>
      <c r="K223" s="425" t="str">
        <f t="shared" ref="K223" si="52">IFERROR(+J223*H223,"")</f>
        <v/>
      </c>
      <c r="L223" s="422" t="str">
        <f t="shared" si="50"/>
        <v/>
      </c>
      <c r="M223" s="423" t="str">
        <f>+IF(M173="","",M173)</f>
        <v/>
      </c>
    </row>
    <row r="224" spans="2:15" s="398" customFormat="1" ht="15" customHeight="1" x14ac:dyDescent="0.15">
      <c r="B224" s="423" t="str">
        <f t="shared" si="49"/>
        <v/>
      </c>
      <c r="C224" s="423" t="str">
        <f t="shared" si="49"/>
        <v/>
      </c>
      <c r="D224" s="426"/>
      <c r="E224" s="426"/>
      <c r="F224" s="426"/>
      <c r="G224" s="426"/>
      <c r="H224" s="423" t="str">
        <f t="shared" si="51"/>
        <v/>
      </c>
      <c r="I224" s="423" t="str">
        <f t="shared" si="51"/>
        <v/>
      </c>
      <c r="J224" s="423" t="str">
        <f>+IF(J174="","",J174)</f>
        <v/>
      </c>
      <c r="K224" s="423" t="str">
        <f>+IF(K174="","",K174)</f>
        <v/>
      </c>
      <c r="L224" s="422" t="str">
        <f t="shared" si="50"/>
        <v/>
      </c>
      <c r="M224" s="423" t="str">
        <f>+IF(M174="","",M174)</f>
        <v/>
      </c>
    </row>
    <row r="225" spans="2:15" s="398" customFormat="1" ht="15" customHeight="1" x14ac:dyDescent="0.15">
      <c r="B225" s="423" t="str">
        <f t="shared" si="49"/>
        <v>□</v>
      </c>
      <c r="C225" s="423" t="str">
        <f t="shared" si="49"/>
        <v>加算手数料</v>
      </c>
      <c r="D225" s="426"/>
      <c r="E225" s="426"/>
      <c r="F225" s="426"/>
      <c r="G225" s="426"/>
      <c r="H225" s="428" t="str">
        <f t="shared" si="51"/>
        <v/>
      </c>
      <c r="I225" s="428" t="str">
        <f t="shared" si="51"/>
        <v/>
      </c>
      <c r="J225" s="424"/>
      <c r="K225" s="425"/>
      <c r="L225" s="422" t="str">
        <f t="shared" si="50"/>
        <v/>
      </c>
    </row>
    <row r="226" spans="2:15" s="398" customFormat="1" ht="15" customHeight="1" x14ac:dyDescent="0.15">
      <c r="B226" s="423" t="str">
        <f t="shared" si="49"/>
        <v/>
      </c>
      <c r="C226" s="423" t="str">
        <f t="shared" si="49"/>
        <v/>
      </c>
      <c r="D226" s="426"/>
      <c r="E226" s="426"/>
      <c r="F226" s="426"/>
      <c r="G226" s="426"/>
      <c r="H226" s="428" t="str">
        <f t="shared" si="51"/>
        <v/>
      </c>
      <c r="I226" s="428" t="str">
        <f t="shared" si="51"/>
        <v/>
      </c>
      <c r="J226" s="424" t="str">
        <f>IFERROR(INDEX(確認申請料金表データ!X$318:AN$341,MATCH($K$16,確認申請料金表データ!B$318:B$341,0),MATCH($C226,確認申請料金表データ!X$3:AN$3,0)),"")</f>
        <v/>
      </c>
      <c r="K226" s="425" t="str">
        <f>IFERROR(+J226*H226,"")</f>
        <v/>
      </c>
      <c r="L226" s="422" t="str">
        <f t="shared" si="50"/>
        <v/>
      </c>
    </row>
    <row r="227" spans="2:15" s="398" customFormat="1" ht="15" customHeight="1" x14ac:dyDescent="0.15">
      <c r="B227" s="423" t="str">
        <f t="shared" si="49"/>
        <v/>
      </c>
      <c r="C227" s="423" t="str">
        <f t="shared" si="49"/>
        <v/>
      </c>
      <c r="D227" s="426"/>
      <c r="E227" s="426"/>
      <c r="F227" s="426"/>
      <c r="G227" s="426"/>
      <c r="H227" s="428" t="str">
        <f t="shared" si="51"/>
        <v/>
      </c>
      <c r="I227" s="428" t="str">
        <f t="shared" si="51"/>
        <v/>
      </c>
      <c r="J227" s="424" t="str">
        <f>IFERROR(INDEX(確認申請料金表データ!X$318:AN$341,MATCH($K$16,確認申請料金表データ!B$318:B$341,0),MATCH($C227,確認申請料金表データ!X$3:AN$3,0)),"")</f>
        <v/>
      </c>
      <c r="K227" s="425" t="str">
        <f t="shared" ref="K227:K230" si="53">IFERROR(+J227*H227,"")</f>
        <v/>
      </c>
      <c r="L227" s="422" t="str">
        <f t="shared" si="50"/>
        <v/>
      </c>
      <c r="O227" s="430"/>
    </row>
    <row r="228" spans="2:15" s="398" customFormat="1" ht="15" customHeight="1" x14ac:dyDescent="0.15">
      <c r="B228" s="423" t="str">
        <f t="shared" si="49"/>
        <v/>
      </c>
      <c r="C228" s="423" t="str">
        <f t="shared" si="49"/>
        <v/>
      </c>
      <c r="D228" s="426"/>
      <c r="E228" s="426"/>
      <c r="F228" s="426"/>
      <c r="G228" s="426"/>
      <c r="H228" s="428" t="str">
        <f t="shared" si="51"/>
        <v/>
      </c>
      <c r="I228" s="428" t="str">
        <f t="shared" si="51"/>
        <v/>
      </c>
      <c r="J228" s="424" t="str">
        <f>IFERROR(INDEX(確認申請料金表データ!X$318:AN$341,MATCH($K$16,確認申請料金表データ!B$318:B$341,0),MATCH($C228,確認申請料金表データ!X$3:AN$3,0)),"")</f>
        <v/>
      </c>
      <c r="K228" s="425" t="str">
        <f t="shared" si="53"/>
        <v/>
      </c>
      <c r="L228" s="422" t="str">
        <f t="shared" si="50"/>
        <v/>
      </c>
    </row>
    <row r="229" spans="2:15" s="398" customFormat="1" ht="15" customHeight="1" x14ac:dyDescent="0.15">
      <c r="B229" s="423" t="str">
        <f t="shared" si="49"/>
        <v/>
      </c>
      <c r="C229" s="423" t="str">
        <f t="shared" si="49"/>
        <v/>
      </c>
      <c r="D229" s="426"/>
      <c r="E229" s="426"/>
      <c r="F229" s="426"/>
      <c r="G229" s="426"/>
      <c r="H229" s="428" t="str">
        <f t="shared" si="51"/>
        <v/>
      </c>
      <c r="I229" s="428" t="str">
        <f t="shared" si="51"/>
        <v/>
      </c>
      <c r="J229" s="424" t="str">
        <f>IFERROR(INDEX(確認申請料金表データ!X$318:AN$341,MATCH($K$16,確認申請料金表データ!B$318:B$341,0),MATCH($C229,確認申請料金表データ!X$3:AN$3,0)),"")</f>
        <v/>
      </c>
      <c r="K229" s="425" t="str">
        <f t="shared" si="53"/>
        <v/>
      </c>
      <c r="L229" s="422" t="str">
        <f t="shared" si="50"/>
        <v/>
      </c>
    </row>
    <row r="230" spans="2:15" s="398" customFormat="1" ht="15" customHeight="1" x14ac:dyDescent="0.15">
      <c r="B230" s="423" t="str">
        <f t="shared" si="49"/>
        <v/>
      </c>
      <c r="C230" s="423" t="str">
        <f t="shared" si="49"/>
        <v/>
      </c>
      <c r="D230" s="426"/>
      <c r="E230" s="426"/>
      <c r="F230" s="426"/>
      <c r="G230" s="426"/>
      <c r="H230" s="428" t="str">
        <f t="shared" si="51"/>
        <v/>
      </c>
      <c r="I230" s="428" t="str">
        <f t="shared" si="51"/>
        <v/>
      </c>
      <c r="J230" s="424" t="str">
        <f>IFERROR(INDEX(確認申請料金表データ!X$318:AN$341,MATCH($K$16,確認申請料金表データ!B$318:B$341,0),MATCH($C230,確認申請料金表データ!X$3:AN$3,0)),"")</f>
        <v/>
      </c>
      <c r="K230" s="425" t="str">
        <f t="shared" si="53"/>
        <v/>
      </c>
      <c r="L230" s="422" t="str">
        <f t="shared" si="50"/>
        <v/>
      </c>
    </row>
    <row r="231" spans="2:15" s="398" customFormat="1" ht="15" customHeight="1" x14ac:dyDescent="0.15">
      <c r="B231" s="423" t="str">
        <f t="shared" si="49"/>
        <v/>
      </c>
      <c r="C231" s="423" t="str">
        <f t="shared" si="49"/>
        <v/>
      </c>
      <c r="D231" s="423"/>
      <c r="E231" s="423"/>
      <c r="F231" s="423"/>
      <c r="G231" s="423"/>
      <c r="H231" s="428" t="str">
        <f t="shared" si="51"/>
        <v/>
      </c>
      <c r="I231" s="428" t="str">
        <f t="shared" si="51"/>
        <v/>
      </c>
      <c r="J231" s="424" t="str">
        <f>IFERROR(INDEX(確認申請料金表データ!X$318:AN$341,MATCH($K$16,確認申請料金表データ!B$318:B$341,0),MATCH($C231,確認申請料金表データ!X$3:AN$3,0)),"")</f>
        <v/>
      </c>
      <c r="K231" s="425" t="str">
        <f>IFERROR(+J231*H231,"")</f>
        <v/>
      </c>
      <c r="L231" s="422" t="str">
        <f t="shared" si="50"/>
        <v/>
      </c>
    </row>
    <row r="232" spans="2:15" s="398" customFormat="1" ht="15" customHeight="1" x14ac:dyDescent="0.15">
      <c r="B232" s="423" t="str">
        <f t="shared" si="49"/>
        <v/>
      </c>
      <c r="C232" s="423" t="str">
        <f t="shared" si="49"/>
        <v/>
      </c>
      <c r="D232" s="423"/>
      <c r="E232" s="423"/>
      <c r="F232" s="423"/>
      <c r="G232" s="423"/>
      <c r="H232" s="428" t="str">
        <f t="shared" si="51"/>
        <v/>
      </c>
      <c r="I232" s="428" t="str">
        <f t="shared" si="51"/>
        <v/>
      </c>
      <c r="J232" s="424" t="str">
        <f>IFERROR(INDEX(確認申請料金表データ!X$318:AN$341,MATCH($K$16,確認申請料金表データ!B$318:B$341,0),MATCH($C232,確認申請料金表データ!X$3:AN$3,0)),"")</f>
        <v/>
      </c>
      <c r="K232" s="425" t="str">
        <f>IFERROR(+J232*H232,"")</f>
        <v/>
      </c>
      <c r="L232" s="422" t="str">
        <f t="shared" si="50"/>
        <v/>
      </c>
    </row>
    <row r="233" spans="2:15" s="398" customFormat="1" ht="15" customHeight="1" x14ac:dyDescent="0.15">
      <c r="B233" s="423" t="str">
        <f t="shared" si="49"/>
        <v/>
      </c>
      <c r="C233" s="423" t="str">
        <f t="shared" si="49"/>
        <v/>
      </c>
      <c r="D233" s="423"/>
      <c r="E233" s="423"/>
      <c r="F233" s="423"/>
      <c r="G233" s="423"/>
      <c r="H233" s="428" t="str">
        <f t="shared" si="51"/>
        <v/>
      </c>
      <c r="I233" s="428" t="str">
        <f t="shared" si="51"/>
        <v/>
      </c>
      <c r="J233" s="424" t="str">
        <f>IFERROR(INDEX(確認申請料金表データ!X$318:AN$341,MATCH($K$16,確認申請料金表データ!B$318:B$341,0),MATCH($C233,確認申請料金表データ!X$3:AN$3,0)),"")</f>
        <v/>
      </c>
      <c r="K233" s="425" t="str">
        <f t="shared" ref="K233" si="54">IFERROR(+J233*H233,"")</f>
        <v/>
      </c>
      <c r="L233" s="422" t="str">
        <f t="shared" si="50"/>
        <v/>
      </c>
    </row>
    <row r="234" spans="2:15" s="398" customFormat="1" ht="15" customHeight="1" x14ac:dyDescent="0.15">
      <c r="B234" s="423" t="str">
        <f t="shared" si="49"/>
        <v/>
      </c>
      <c r="C234" s="423" t="str">
        <f t="shared" si="49"/>
        <v/>
      </c>
      <c r="D234" s="423" t="str">
        <f>+IF(D184="","",D184)</f>
        <v/>
      </c>
      <c r="E234" s="423" t="str">
        <f>+IF(E184="","",E184)</f>
        <v/>
      </c>
      <c r="F234" s="423" t="str">
        <f>+IF(F184="","",F184)</f>
        <v/>
      </c>
      <c r="G234" s="423" t="str">
        <f>+IF(G184="","",G184)</f>
        <v/>
      </c>
      <c r="H234" s="423" t="str">
        <f t="shared" si="51"/>
        <v/>
      </c>
      <c r="I234" s="423" t="str">
        <f t="shared" si="51"/>
        <v/>
      </c>
      <c r="J234" s="423" t="str">
        <f>+IF(J184="","",J184)</f>
        <v/>
      </c>
      <c r="K234" s="423" t="str">
        <f>+IF(K184="","",K184)</f>
        <v/>
      </c>
      <c r="L234" s="422" t="str">
        <f t="shared" si="50"/>
        <v/>
      </c>
      <c r="O234" s="429"/>
    </row>
    <row r="235" spans="2:15" s="398" customFormat="1" ht="15" customHeight="1" x14ac:dyDescent="0.15">
      <c r="B235" s="423" t="str">
        <f t="shared" si="49"/>
        <v>□</v>
      </c>
      <c r="C235" s="423" t="str">
        <f t="shared" si="49"/>
        <v>省エネ基準省令に基づく基準による審査(仕様基準)</v>
      </c>
      <c r="D235" s="426"/>
      <c r="E235" s="426"/>
      <c r="F235" s="426"/>
      <c r="G235" s="426"/>
      <c r="H235" s="428" t="str">
        <f t="shared" si="51"/>
        <v/>
      </c>
      <c r="I235" s="428" t="str">
        <f t="shared" si="51"/>
        <v/>
      </c>
      <c r="J235" s="424"/>
      <c r="K235" s="425"/>
      <c r="L235" s="422" t="str">
        <f t="shared" si="50"/>
        <v/>
      </c>
    </row>
    <row r="236" spans="2:15" s="398" customFormat="1" ht="15" customHeight="1" x14ac:dyDescent="0.15">
      <c r="B236" s="423" t="str">
        <f t="shared" si="49"/>
        <v/>
      </c>
      <c r="C236" s="423" t="str">
        <f t="shared" si="49"/>
        <v/>
      </c>
      <c r="D236" s="426"/>
      <c r="E236" s="426"/>
      <c r="F236" s="426"/>
      <c r="G236" s="426"/>
      <c r="H236" s="428" t="str">
        <f t="shared" si="51"/>
        <v/>
      </c>
      <c r="I236" s="428" t="str">
        <f t="shared" si="51"/>
        <v/>
      </c>
      <c r="J236" s="424" t="str">
        <f>IFERROR(INDEX(確認申請料金表データ!S$318:V$341,MATCH($K$16,確認申請料金表データ!B$318:B$341,0),MATCH($C236,確認申請料金表データ!S$3:V$3,0)),"")</f>
        <v/>
      </c>
      <c r="K236" s="425" t="str">
        <f t="shared" ref="K236:K237" si="55">IFERROR(+J236*H236,"")</f>
        <v/>
      </c>
      <c r="L236" s="422" t="str">
        <f t="shared" si="50"/>
        <v/>
      </c>
    </row>
    <row r="237" spans="2:15" s="398" customFormat="1" ht="15" customHeight="1" x14ac:dyDescent="0.15">
      <c r="B237" s="423" t="str">
        <f t="shared" si="49"/>
        <v/>
      </c>
      <c r="C237" s="423" t="str">
        <f t="shared" si="49"/>
        <v/>
      </c>
      <c r="D237" s="426"/>
      <c r="E237" s="426"/>
      <c r="F237" s="426"/>
      <c r="G237" s="426"/>
      <c r="H237" s="428" t="str">
        <f t="shared" si="51"/>
        <v/>
      </c>
      <c r="I237" s="428" t="str">
        <f t="shared" si="51"/>
        <v/>
      </c>
      <c r="J237" s="424" t="str">
        <f>IFERROR(INDEX(確認申請料金表データ!S$318:V$341,MATCH($K$16,確認申請料金表データ!B$318:B$341,0),MATCH($C237,確認申請料金表データ!S$3:V$3,0)),"")</f>
        <v/>
      </c>
      <c r="K237" s="425" t="str">
        <f t="shared" si="55"/>
        <v/>
      </c>
      <c r="L237" s="422" t="str">
        <f t="shared" si="50"/>
        <v/>
      </c>
    </row>
    <row r="238" spans="2:15" s="398" customFormat="1" ht="15" customHeight="1" x14ac:dyDescent="0.15">
      <c r="B238" s="423" t="str">
        <f t="shared" ref="B238:N242" si="56">+IF(B188="","",B188)</f>
        <v/>
      </c>
      <c r="C238" s="423" t="str">
        <f t="shared" si="56"/>
        <v/>
      </c>
      <c r="D238" s="426"/>
      <c r="E238" s="426"/>
      <c r="F238" s="426"/>
      <c r="G238" s="426"/>
      <c r="H238" s="422" t="str">
        <f t="shared" si="51"/>
        <v/>
      </c>
      <c r="I238" s="422" t="str">
        <f t="shared" si="51"/>
        <v/>
      </c>
      <c r="J238" s="422" t="str">
        <f t="shared" si="51"/>
        <v/>
      </c>
      <c r="K238" s="422" t="str">
        <f t="shared" si="51"/>
        <v/>
      </c>
      <c r="L238" s="422" t="str">
        <f t="shared" si="51"/>
        <v/>
      </c>
    </row>
    <row r="239" spans="2:15" s="398" customFormat="1" ht="15" customHeight="1" x14ac:dyDescent="0.15">
      <c r="B239" s="423" t="str">
        <f t="shared" si="56"/>
        <v/>
      </c>
      <c r="C239" s="423" t="str">
        <f t="shared" si="56"/>
        <v/>
      </c>
      <c r="D239" s="431"/>
      <c r="E239" s="431"/>
      <c r="F239" s="431"/>
      <c r="G239" s="431"/>
      <c r="H239" s="432" t="s">
        <v>21</v>
      </c>
      <c r="I239" s="433"/>
      <c r="J239" s="433"/>
      <c r="K239" s="434">
        <f>SUM(K218:K237)</f>
        <v>59500</v>
      </c>
      <c r="L239" s="422" t="str">
        <f t="shared" ref="L239" si="57">+IF(L189="","",L189)</f>
        <v>-</v>
      </c>
    </row>
    <row r="240" spans="2:15" s="398" customFormat="1" ht="15" customHeight="1" x14ac:dyDescent="0.15">
      <c r="B240" s="435" t="str">
        <f t="shared" si="56"/>
        <v>□</v>
      </c>
      <c r="C240" s="436" t="str">
        <f t="shared" si="56"/>
        <v>出張費及び交通費（当機関規定による）【課税対象、消費税込み】</v>
      </c>
      <c r="D240" s="437" t="str">
        <f t="shared" si="56"/>
        <v/>
      </c>
      <c r="E240" s="437" t="str">
        <f t="shared" si="56"/>
        <v/>
      </c>
      <c r="F240" s="437" t="str">
        <f t="shared" si="56"/>
        <v/>
      </c>
      <c r="G240" s="437" t="str">
        <f t="shared" si="56"/>
        <v/>
      </c>
      <c r="H240" s="438" t="str">
        <f t="shared" si="56"/>
        <v/>
      </c>
      <c r="I240" s="435" t="str">
        <f t="shared" si="56"/>
        <v/>
      </c>
      <c r="J240" s="439" t="str">
        <f t="shared" si="56"/>
        <v/>
      </c>
      <c r="K240" s="439" t="str">
        <f t="shared" si="56"/>
        <v/>
      </c>
      <c r="L240" s="435" t="str">
        <f t="shared" si="56"/>
        <v/>
      </c>
      <c r="M240" s="398" t="str">
        <f t="shared" si="56"/>
        <v/>
      </c>
      <c r="N240" s="398" t="str">
        <f t="shared" si="56"/>
        <v/>
      </c>
    </row>
    <row r="241" spans="2:27" s="398" customFormat="1" ht="15" customHeight="1" x14ac:dyDescent="0.15">
      <c r="B241" s="440" t="str">
        <f t="shared" si="56"/>
        <v/>
      </c>
      <c r="C241" s="440" t="str">
        <f t="shared" si="56"/>
        <v>出張交通費</v>
      </c>
      <c r="D241" s="441" t="str">
        <f t="shared" si="56"/>
        <v>東京都</v>
      </c>
      <c r="E241" s="426" t="str">
        <f t="shared" si="56"/>
        <v/>
      </c>
      <c r="F241" s="426" t="str">
        <f t="shared" si="56"/>
        <v/>
      </c>
      <c r="G241" s="442" t="str">
        <f t="shared" si="56"/>
        <v/>
      </c>
      <c r="H241" s="443">
        <f t="shared" si="56"/>
        <v>1</v>
      </c>
      <c r="I241" s="428" t="str">
        <f t="shared" si="56"/>
        <v>回</v>
      </c>
      <c r="J241" s="444">
        <f t="shared" si="56"/>
        <v>2200</v>
      </c>
      <c r="K241" s="425">
        <f t="shared" si="56"/>
        <v>2200</v>
      </c>
      <c r="L241" s="445" t="str">
        <f t="shared" si="56"/>
        <v>-</v>
      </c>
      <c r="M241" s="398" t="str">
        <f t="shared" si="56"/>
        <v/>
      </c>
      <c r="O241" s="429"/>
    </row>
    <row r="242" spans="2:27" s="398" customFormat="1" ht="15" customHeight="1" x14ac:dyDescent="0.15">
      <c r="B242" s="446" t="str">
        <f t="shared" si="56"/>
        <v/>
      </c>
      <c r="C242" s="447" t="str">
        <f t="shared" si="56"/>
        <v/>
      </c>
      <c r="D242" s="447" t="str">
        <f t="shared" si="56"/>
        <v/>
      </c>
      <c r="E242" s="447" t="str">
        <f t="shared" si="56"/>
        <v/>
      </c>
      <c r="F242" s="447" t="str">
        <f t="shared" si="56"/>
        <v/>
      </c>
      <c r="G242" s="447" t="str">
        <f t="shared" si="56"/>
        <v/>
      </c>
      <c r="H242" s="448" t="str">
        <f t="shared" si="56"/>
        <v>合     計</v>
      </c>
      <c r="I242" s="448"/>
      <c r="J242" s="449"/>
      <c r="K242" s="450">
        <f t="shared" si="56"/>
        <v>2200</v>
      </c>
      <c r="L242" s="446" t="str">
        <f t="shared" si="56"/>
        <v>-</v>
      </c>
      <c r="M242" s="398" t="str">
        <f t="shared" si="56"/>
        <v/>
      </c>
      <c r="N242" s="398" t="str">
        <f t="shared" si="56"/>
        <v/>
      </c>
    </row>
    <row r="243" spans="2:27" s="398" customFormat="1" ht="15" customHeight="1" thickBot="1" x14ac:dyDescent="0.2">
      <c r="C243" s="398" t="s">
        <v>91</v>
      </c>
      <c r="H243" s="451" t="s">
        <v>2</v>
      </c>
      <c r="I243" s="451"/>
      <c r="J243" s="451"/>
      <c r="K243" s="452">
        <f>K239+K242</f>
        <v>61700</v>
      </c>
      <c r="L243" s="453" t="s">
        <v>1</v>
      </c>
    </row>
    <row r="244" spans="2:27" s="398" customFormat="1" ht="15" customHeight="1" thickTop="1" x14ac:dyDescent="0.15">
      <c r="B244" s="409"/>
      <c r="C244" s="412" t="s">
        <v>19</v>
      </c>
      <c r="I244" s="454"/>
      <c r="J244" s="454"/>
      <c r="K244" s="455"/>
      <c r="L244" s="412"/>
    </row>
    <row r="245" spans="2:27" s="398" customFormat="1" ht="15" customHeight="1" x14ac:dyDescent="0.15">
      <c r="C245" s="412" t="s">
        <v>22</v>
      </c>
    </row>
    <row r="246" spans="2:27" s="398" customFormat="1" ht="15" customHeight="1" x14ac:dyDescent="0.15">
      <c r="C246" s="412" t="s">
        <v>16</v>
      </c>
    </row>
    <row r="247" spans="2:27" s="398" customFormat="1" ht="15" customHeight="1" x14ac:dyDescent="0.15">
      <c r="C247" s="412" t="s">
        <v>20</v>
      </c>
    </row>
    <row r="248" spans="2:27" s="398" customFormat="1" ht="15" customHeight="1" x14ac:dyDescent="0.15">
      <c r="C248" s="412" t="s">
        <v>18</v>
      </c>
    </row>
    <row r="249" spans="2:27" s="392" customFormat="1" ht="15" customHeight="1" x14ac:dyDescent="0.15">
      <c r="C249" s="398"/>
      <c r="K249" s="456"/>
      <c r="O249" s="398"/>
    </row>
    <row r="250" spans="2:27" s="392" customFormat="1" ht="16.5" customHeight="1" x14ac:dyDescent="0.15">
      <c r="L250" s="456" t="s">
        <v>32</v>
      </c>
    </row>
    <row r="251" spans="2:27" s="392" customFormat="1" ht="19.5" customHeight="1" x14ac:dyDescent="0.15">
      <c r="B251" s="388" t="s">
        <v>29</v>
      </c>
      <c r="C251" s="389"/>
      <c r="D251" s="388"/>
      <c r="E251" s="390"/>
      <c r="F251" s="390"/>
      <c r="G251" s="390"/>
      <c r="H251" s="389"/>
      <c r="I251" s="389"/>
      <c r="J251" s="389"/>
      <c r="K251" s="389"/>
      <c r="L251" s="391" t="str">
        <f>+確認申請料金表データ!A419</f>
        <v>5.大和リース　特約　確認、検査、加算手数料30％off</v>
      </c>
      <c r="O251" s="393"/>
      <c r="P251" s="394"/>
      <c r="Q251" s="394"/>
      <c r="R251" s="394"/>
      <c r="S251" s="394"/>
      <c r="T251" s="393"/>
      <c r="U251" s="394"/>
      <c r="V251" s="394"/>
      <c r="W251" s="394"/>
      <c r="X251" s="394"/>
      <c r="Y251" s="394"/>
      <c r="Z251" s="394"/>
      <c r="AA251" s="394"/>
    </row>
    <row r="252" spans="2:27" s="392" customFormat="1" ht="15" customHeight="1" x14ac:dyDescent="0.15">
      <c r="E252" s="395"/>
      <c r="F252" s="395"/>
      <c r="G252" s="395"/>
      <c r="H252" s="395"/>
      <c r="I252" s="395"/>
      <c r="J252" s="762">
        <f ca="1">TODAY()</f>
        <v>45848</v>
      </c>
      <c r="K252" s="762"/>
      <c r="L252" s="395"/>
    </row>
    <row r="253" spans="2:27" s="392" customFormat="1" ht="15" customHeight="1" x14ac:dyDescent="0.15">
      <c r="E253" s="395"/>
      <c r="F253" s="395"/>
      <c r="G253" s="395"/>
      <c r="H253" s="395"/>
      <c r="I253" s="395"/>
      <c r="J253" s="396"/>
      <c r="K253" s="396"/>
      <c r="L253" s="395"/>
    </row>
    <row r="254" spans="2:27" s="392" customFormat="1" ht="15" customHeight="1" x14ac:dyDescent="0.15">
      <c r="C254" s="759" t="str">
        <f>+入力シート!$E$9&amp;"　　"&amp;入力シート!$G$9</f>
        <v>　　御中</v>
      </c>
      <c r="D254" s="759"/>
    </row>
    <row r="255" spans="2:27" s="392" customFormat="1" ht="15" customHeight="1" x14ac:dyDescent="0.15">
      <c r="C255" s="397" t="str">
        <f t="shared" ref="C255:C263" si="58">+IF(C205="","",C205)</f>
        <v/>
      </c>
    </row>
    <row r="256" spans="2:27" s="392" customFormat="1" ht="15" customHeight="1" x14ac:dyDescent="0.15">
      <c r="C256" s="392" t="str">
        <f t="shared" si="58"/>
        <v/>
      </c>
      <c r="H256" s="398" t="str">
        <f>+IF(H206="","",H206)</f>
        <v>〒150-0002  東京都渋谷区渋谷1-13-9</v>
      </c>
      <c r="I256" s="399"/>
    </row>
    <row r="257" spans="2:15" s="392" customFormat="1" ht="15" customHeight="1" x14ac:dyDescent="0.15">
      <c r="B257" s="392" t="str">
        <f t="shared" ref="B257:C272" si="59">+IF(B207="","",B207)</f>
        <v/>
      </c>
      <c r="C257" s="392" t="str">
        <f t="shared" si="58"/>
        <v/>
      </c>
      <c r="E257" s="392" t="str">
        <f t="shared" ref="E257:L272" si="60">+IF(E207="","",E207)</f>
        <v/>
      </c>
      <c r="F257" s="392" t="str">
        <f t="shared" si="60"/>
        <v/>
      </c>
      <c r="G257" s="392" t="str">
        <f t="shared" si="60"/>
        <v/>
      </c>
      <c r="H257" s="392" t="str">
        <f>+IF(H207="","",H207)</f>
        <v>株式会社 J 建築検査センター</v>
      </c>
      <c r="I257" s="400"/>
      <c r="L257" s="401"/>
      <c r="M257" s="401"/>
    </row>
    <row r="258" spans="2:15" s="392" customFormat="1" ht="15" customHeight="1" x14ac:dyDescent="0.15">
      <c r="B258" s="392" t="str">
        <f t="shared" si="59"/>
        <v/>
      </c>
      <c r="C258" s="392" t="str">
        <f t="shared" si="58"/>
        <v/>
      </c>
      <c r="E258" s="392" t="str">
        <f t="shared" si="60"/>
        <v/>
      </c>
      <c r="F258" s="392" t="str">
        <f t="shared" si="60"/>
        <v/>
      </c>
      <c r="G258" s="392" t="str">
        <f t="shared" si="60"/>
        <v/>
      </c>
      <c r="H258" s="398" t="str">
        <f>+IF(H208="","",H208)</f>
        <v>TEL:03-5464-7778　FAX:03-5464-7779</v>
      </c>
      <c r="I258" s="400"/>
      <c r="M258" s="392" t="str">
        <f>+IF(M208="","",M208)</f>
        <v/>
      </c>
    </row>
    <row r="259" spans="2:15" s="392" customFormat="1" ht="15" customHeight="1" x14ac:dyDescent="0.15">
      <c r="B259" s="392" t="str">
        <f t="shared" si="59"/>
        <v/>
      </c>
      <c r="C259" s="402" t="str">
        <f t="shared" si="58"/>
        <v>下記の通り、お見積申し上げます。</v>
      </c>
      <c r="E259" s="392" t="str">
        <f t="shared" si="60"/>
        <v/>
      </c>
      <c r="F259" s="392" t="str">
        <f t="shared" si="60"/>
        <v/>
      </c>
      <c r="G259" s="392" t="str">
        <f t="shared" si="60"/>
        <v/>
      </c>
      <c r="I259" s="400"/>
      <c r="M259" s="392" t="str">
        <f>+IF(M209="","",M209)</f>
        <v/>
      </c>
    </row>
    <row r="260" spans="2:15" s="392" customFormat="1" ht="11.25" customHeight="1" x14ac:dyDescent="0.15">
      <c r="B260" s="392" t="str">
        <f t="shared" si="59"/>
        <v/>
      </c>
      <c r="C260" s="403" t="str">
        <f t="shared" si="58"/>
        <v/>
      </c>
      <c r="D260" s="403"/>
      <c r="E260" s="403" t="str">
        <f t="shared" si="60"/>
        <v/>
      </c>
      <c r="F260" s="403" t="str">
        <f t="shared" si="60"/>
        <v/>
      </c>
      <c r="G260" s="403" t="str">
        <f t="shared" si="60"/>
        <v/>
      </c>
      <c r="H260" s="403"/>
      <c r="I260" s="403"/>
      <c r="J260" s="403"/>
      <c r="K260" s="403"/>
    </row>
    <row r="261" spans="2:15" s="394" customFormat="1" ht="24" customHeight="1" x14ac:dyDescent="0.15">
      <c r="B261" s="394" t="str">
        <f t="shared" si="59"/>
        <v/>
      </c>
      <c r="C261" s="404" t="str">
        <f t="shared" si="58"/>
        <v>件       名</v>
      </c>
      <c r="D261" s="479">
        <f>+IF(D211="","",D211)</f>
        <v>0</v>
      </c>
      <c r="E261" s="480" t="str">
        <f t="shared" si="60"/>
        <v/>
      </c>
      <c r="F261" s="480" t="str">
        <f t="shared" si="60"/>
        <v/>
      </c>
      <c r="G261" s="480" t="str">
        <f t="shared" si="60"/>
        <v/>
      </c>
      <c r="H261" s="480" t="str">
        <f t="shared" si="60"/>
        <v/>
      </c>
      <c r="I261" s="480" t="str">
        <f t="shared" si="60"/>
        <v/>
      </c>
      <c r="J261" s="480" t="str">
        <f t="shared" si="60"/>
        <v/>
      </c>
      <c r="K261" s="480" t="str">
        <f t="shared" si="60"/>
        <v/>
      </c>
      <c r="L261" s="394" t="str">
        <f t="shared" si="60"/>
        <v/>
      </c>
    </row>
    <row r="262" spans="2:15" s="394" customFormat="1" ht="24" customHeight="1" x14ac:dyDescent="0.15">
      <c r="B262" s="394" t="str">
        <f t="shared" si="59"/>
        <v/>
      </c>
      <c r="C262" s="405" t="str">
        <f t="shared" si="58"/>
        <v>総　　　額</v>
      </c>
      <c r="D262" s="406">
        <f>+K293</f>
        <v>72200</v>
      </c>
      <c r="E262" s="407" t="str">
        <f t="shared" si="60"/>
        <v>-</v>
      </c>
      <c r="F262" s="407" t="str">
        <f t="shared" si="60"/>
        <v/>
      </c>
      <c r="G262" s="407" t="str">
        <f t="shared" si="60"/>
        <v/>
      </c>
      <c r="H262" s="407" t="str">
        <f t="shared" si="60"/>
        <v/>
      </c>
      <c r="I262" s="408" t="str">
        <f t="shared" si="60"/>
        <v/>
      </c>
      <c r="J262" s="408" t="str">
        <f t="shared" si="60"/>
        <v/>
      </c>
      <c r="K262" s="408" t="str">
        <f t="shared" si="60"/>
        <v/>
      </c>
      <c r="L262" s="394" t="str">
        <f t="shared" si="60"/>
        <v/>
      </c>
    </row>
    <row r="263" spans="2:15" s="398" customFormat="1" ht="15" customHeight="1" x14ac:dyDescent="0.15">
      <c r="B263" s="409" t="str">
        <f t="shared" si="59"/>
        <v/>
      </c>
      <c r="C263" s="410" t="str">
        <f t="shared" si="58"/>
        <v>御見積書有効期限：</v>
      </c>
      <c r="D263" s="411" t="str">
        <f>+IF(D213="","",D213)</f>
        <v>1ヶ月</v>
      </c>
      <c r="E263" s="412" t="str">
        <f t="shared" si="60"/>
        <v>御支払条件：</v>
      </c>
      <c r="F263" s="410" t="str">
        <f t="shared" si="60"/>
        <v/>
      </c>
      <c r="G263" s="481" t="str">
        <f t="shared" si="60"/>
        <v/>
      </c>
      <c r="H263" s="482" t="str">
        <f t="shared" si="60"/>
        <v/>
      </c>
      <c r="I263" s="482" t="str">
        <f t="shared" si="60"/>
        <v/>
      </c>
      <c r="J263" s="482" t="str">
        <f t="shared" si="60"/>
        <v/>
      </c>
      <c r="K263" s="482" t="str">
        <f t="shared" si="60"/>
        <v/>
      </c>
      <c r="L263" s="398" t="str">
        <f t="shared" si="60"/>
        <v/>
      </c>
      <c r="M263" s="398" t="str">
        <f>+IF(M213="","",M213)</f>
        <v/>
      </c>
      <c r="O263" s="394"/>
    </row>
    <row r="264" spans="2:15" s="398" customFormat="1" ht="15" customHeight="1" x14ac:dyDescent="0.15">
      <c r="B264" s="760" t="str">
        <f t="shared" si="59"/>
        <v>品    名　・　摘    要</v>
      </c>
      <c r="C264" s="760"/>
      <c r="D264" s="760" t="str">
        <f>+IF(D214="","",D214)</f>
        <v/>
      </c>
      <c r="E264" s="760" t="str">
        <f t="shared" si="60"/>
        <v/>
      </c>
      <c r="F264" s="760" t="str">
        <f t="shared" si="60"/>
        <v/>
      </c>
      <c r="G264" s="760" t="str">
        <f t="shared" si="60"/>
        <v/>
      </c>
      <c r="H264" s="413" t="str">
        <f t="shared" si="60"/>
        <v>数  量</v>
      </c>
      <c r="I264" s="414" t="str">
        <f t="shared" si="60"/>
        <v>単位</v>
      </c>
      <c r="J264" s="415" t="str">
        <f t="shared" si="60"/>
        <v>単     価</v>
      </c>
      <c r="K264" s="761" t="str">
        <f t="shared" si="60"/>
        <v>金        額</v>
      </c>
      <c r="L264" s="760" t="str">
        <f t="shared" si="60"/>
        <v/>
      </c>
      <c r="M264" s="398" t="str">
        <f>+IF(M214="","",M214)</f>
        <v/>
      </c>
      <c r="O264" s="394"/>
    </row>
    <row r="265" spans="2:15" s="398" customFormat="1" ht="15" customHeight="1" x14ac:dyDescent="0.15">
      <c r="B265" s="416" t="str">
        <f t="shared" si="59"/>
        <v/>
      </c>
      <c r="C265" s="417" t="str">
        <f t="shared" si="59"/>
        <v>'地名・地番:</v>
      </c>
      <c r="D265" s="485" t="str">
        <f>+IF(D215="","",D215)</f>
        <v>東京都</v>
      </c>
      <c r="E265" s="486" t="str">
        <f t="shared" si="60"/>
        <v/>
      </c>
      <c r="F265" s="486" t="str">
        <f t="shared" si="60"/>
        <v/>
      </c>
      <c r="G265" s="486" t="str">
        <f t="shared" si="60"/>
        <v/>
      </c>
      <c r="H265" s="418" t="e">
        <f t="shared" si="60"/>
        <v>#REF!</v>
      </c>
      <c r="I265" s="418"/>
      <c r="J265" s="419" t="str">
        <f t="shared" si="60"/>
        <v>一戸建ての住宅</v>
      </c>
      <c r="K265" s="420" t="str">
        <f t="shared" si="60"/>
        <v/>
      </c>
      <c r="L265" s="420" t="str">
        <f t="shared" si="60"/>
        <v/>
      </c>
      <c r="O265" s="394"/>
    </row>
    <row r="266" spans="2:15" s="398" customFormat="1" ht="15" customHeight="1" x14ac:dyDescent="0.15">
      <c r="B266" s="421" t="str">
        <f>+IF(B219="","",B219)</f>
        <v/>
      </c>
      <c r="C266" s="419" t="str">
        <f t="shared" si="59"/>
        <v>構造・規模:</v>
      </c>
      <c r="D266" s="419" t="str">
        <f>+IF(D216="","",D216)</f>
        <v>木造</v>
      </c>
      <c r="E266" s="419" t="str">
        <f t="shared" si="60"/>
        <v>：地上</v>
      </c>
      <c r="F266" s="419">
        <f t="shared" si="60"/>
        <v>2</v>
      </c>
      <c r="G266" s="419" t="str">
        <f t="shared" si="60"/>
        <v>階、地下</v>
      </c>
      <c r="H266" s="419" t="str">
        <f t="shared" si="60"/>
        <v>-</v>
      </c>
      <c r="I266" s="419" t="str">
        <f t="shared" si="60"/>
        <v>階</v>
      </c>
      <c r="J266" s="419" t="str">
        <f t="shared" si="60"/>
        <v>：延べ面積</v>
      </c>
      <c r="K266" s="419" t="str">
        <f t="shared" si="60"/>
        <v>0-100㎡以内(3号)</v>
      </c>
      <c r="L266" s="422" t="str">
        <f t="shared" si="60"/>
        <v/>
      </c>
      <c r="O266" s="394"/>
    </row>
    <row r="267" spans="2:15" s="398" customFormat="1" ht="15" customHeight="1" x14ac:dyDescent="0.15">
      <c r="B267" s="423" t="str">
        <f>+IF(B217="","",B217)</f>
        <v>■</v>
      </c>
      <c r="C267" s="423" t="str">
        <f t="shared" si="59"/>
        <v>確認申請業務【非課税】</v>
      </c>
      <c r="D267" s="423" t="str">
        <f>+IF(D217="","",D217)</f>
        <v/>
      </c>
      <c r="E267" s="423" t="str">
        <f t="shared" si="60"/>
        <v/>
      </c>
      <c r="F267" s="423" t="str">
        <f t="shared" si="60"/>
        <v/>
      </c>
      <c r="G267" s="423" t="str">
        <f t="shared" si="60"/>
        <v/>
      </c>
      <c r="H267" s="423" t="str">
        <f t="shared" si="60"/>
        <v/>
      </c>
      <c r="I267" s="423" t="str">
        <f t="shared" si="60"/>
        <v/>
      </c>
      <c r="J267" s="424"/>
      <c r="K267" s="425"/>
      <c r="L267" s="422" t="str">
        <f>+IF(L217="","",L217)</f>
        <v/>
      </c>
    </row>
    <row r="268" spans="2:15" s="398" customFormat="1" ht="15" customHeight="1" x14ac:dyDescent="0.15">
      <c r="B268" s="423" t="str">
        <f>+IF(B218="","",B218)</f>
        <v>・</v>
      </c>
      <c r="C268" s="423" t="str">
        <f t="shared" si="59"/>
        <v>確認申請(計画通知)基本手数料</v>
      </c>
      <c r="D268" s="426"/>
      <c r="E268" s="427"/>
      <c r="F268" s="427"/>
      <c r="G268" s="427"/>
      <c r="H268" s="428">
        <f t="shared" si="60"/>
        <v>1</v>
      </c>
      <c r="I268" s="428" t="str">
        <f t="shared" si="60"/>
        <v>式</v>
      </c>
      <c r="J268" s="424">
        <f>IFERROR(INDEX(確認申請料金表データ!C$422:Q$445,MATCH($K$16,確認申請料金表データ!B$422:B$445,0),MATCH($C268,確認申請料金表データ!C$3:Q$3,0)),"")</f>
        <v>31499.999999999996</v>
      </c>
      <c r="K268" s="425">
        <f>IFERROR(+J268*H268,"")</f>
        <v>31499.999999999996</v>
      </c>
      <c r="L268" s="422" t="str">
        <f>+IF(L218="","",L218)</f>
        <v>-</v>
      </c>
    </row>
    <row r="269" spans="2:15" s="398" customFormat="1" ht="15" customHeight="1" x14ac:dyDescent="0.15">
      <c r="B269" s="423" t="str">
        <f>+IF(B219="","",B219)</f>
        <v/>
      </c>
      <c r="C269" s="423" t="str">
        <f t="shared" si="59"/>
        <v/>
      </c>
      <c r="D269" s="426"/>
      <c r="E269" s="423" t="str">
        <f>+IF(E219="","",E219)</f>
        <v/>
      </c>
      <c r="F269" s="427"/>
      <c r="G269" s="427"/>
      <c r="H269" s="428" t="str">
        <f t="shared" si="60"/>
        <v/>
      </c>
      <c r="I269" s="428" t="str">
        <f t="shared" si="60"/>
        <v/>
      </c>
      <c r="J269" s="424" t="str">
        <f>IFERROR(INDEX(確認申請料金表データ!C$422:Q$448,MATCH(E269,確認申請料金表データ!B$422:B$448,0),MATCH(C269,確認申請料金表データ!C$3:Q$3,0)),"")</f>
        <v/>
      </c>
      <c r="K269" s="425" t="str">
        <f>IFERROR(+J269*H269,"")</f>
        <v/>
      </c>
      <c r="L269" s="422" t="str">
        <f>+IF(L219="","",L219)</f>
        <v/>
      </c>
    </row>
    <row r="270" spans="2:15" s="398" customFormat="1" ht="15" customHeight="1" x14ac:dyDescent="0.15">
      <c r="B270" s="423" t="str">
        <f>+IF(B220="","",B220)</f>
        <v/>
      </c>
      <c r="C270" s="423" t="str">
        <f t="shared" si="59"/>
        <v/>
      </c>
      <c r="D270" s="426"/>
      <c r="E270" s="423" t="str">
        <f>+IF(E220="","",E220)</f>
        <v/>
      </c>
      <c r="F270" s="427"/>
      <c r="G270" s="427"/>
      <c r="H270" s="428" t="str">
        <f t="shared" si="60"/>
        <v/>
      </c>
      <c r="I270" s="428" t="str">
        <f t="shared" si="60"/>
        <v/>
      </c>
      <c r="J270" s="424" t="str">
        <f>IFERROR(INDEX(確認申請料金表データ!C$422:Q$448,MATCH(E270,確認申請料金表データ!B$422:B$448,0),MATCH(C270,確認申請料金表データ!C$3:Q$3,0)),"")</f>
        <v/>
      </c>
      <c r="K270" s="425" t="str">
        <f>IFERROR(+J270*H270,"")</f>
        <v/>
      </c>
      <c r="L270" s="422" t="str">
        <f>+IF(L220="","",L220)</f>
        <v/>
      </c>
      <c r="O270" s="429"/>
    </row>
    <row r="271" spans="2:15" s="398" customFormat="1" ht="15" customHeight="1" x14ac:dyDescent="0.15">
      <c r="B271" s="423" t="str">
        <f>+IF(B222="","",B222)</f>
        <v>・</v>
      </c>
      <c r="C271" s="423" t="str">
        <f t="shared" si="59"/>
        <v/>
      </c>
      <c r="D271" s="426"/>
      <c r="E271" s="423" t="str">
        <f>+IF(E221="","",E221)</f>
        <v/>
      </c>
      <c r="F271" s="427"/>
      <c r="G271" s="427"/>
      <c r="H271" s="428" t="str">
        <f t="shared" si="60"/>
        <v/>
      </c>
      <c r="I271" s="428" t="str">
        <f t="shared" si="60"/>
        <v/>
      </c>
      <c r="J271" s="424" t="str">
        <f>IFERROR(INDEX(確認申請料金表データ!C$422:Q$448,MATCH(E271,確認申請料金表データ!B$422:B$448,0),MATCH(C271,確認申請料金表データ!C$3:Q$3,0)),"")</f>
        <v/>
      </c>
      <c r="K271" s="425" t="str">
        <f>IFERROR(+J271*H271,"")</f>
        <v/>
      </c>
      <c r="L271" s="422" t="str">
        <f>+IF(L222="","",L222)</f>
        <v>-</v>
      </c>
      <c r="O271" s="429"/>
    </row>
    <row r="272" spans="2:15" s="398" customFormat="1" ht="15" customHeight="1" x14ac:dyDescent="0.15">
      <c r="B272" s="423" t="str">
        <f t="shared" ref="B272:C287" si="61">+IF(B222="","",B222)</f>
        <v>・</v>
      </c>
      <c r="C272" s="423" t="str">
        <f t="shared" si="59"/>
        <v>完了検査(工事完了通知)基本手数料(省エネ適判なし)</v>
      </c>
      <c r="D272" s="426"/>
      <c r="E272" s="426"/>
      <c r="F272" s="427"/>
      <c r="G272" s="427"/>
      <c r="H272" s="428">
        <f t="shared" si="60"/>
        <v>1</v>
      </c>
      <c r="I272" s="428" t="str">
        <f t="shared" si="60"/>
        <v>式</v>
      </c>
      <c r="J272" s="424">
        <f>IFERROR(INDEX(確認申請料金表データ!C$422:Q$455,MATCH($K$16,確認申請料金表データ!B$422:B$455,0),MATCH($C272,確認申請料金表データ!C$3:Q$3,0)),"")</f>
        <v>38500</v>
      </c>
      <c r="K272" s="425">
        <f>IFERROR(+J272*H272,"")</f>
        <v>38500</v>
      </c>
      <c r="L272" s="422" t="str">
        <f t="shared" ref="L272:L287" si="62">+IF(L222="","",L222)</f>
        <v>-</v>
      </c>
    </row>
    <row r="273" spans="2:15" s="398" customFormat="1" ht="15" customHeight="1" x14ac:dyDescent="0.15">
      <c r="B273" s="423" t="str">
        <f t="shared" si="61"/>
        <v/>
      </c>
      <c r="C273" s="423" t="str">
        <f t="shared" si="61"/>
        <v/>
      </c>
      <c r="D273" s="426"/>
      <c r="E273" s="426"/>
      <c r="F273" s="426"/>
      <c r="G273" s="426"/>
      <c r="H273" s="428" t="str">
        <f t="shared" ref="H273:L288" si="63">+IF(H223="","",H223)</f>
        <v/>
      </c>
      <c r="I273" s="428" t="str">
        <f t="shared" si="63"/>
        <v/>
      </c>
      <c r="J273" s="424" t="str">
        <f>IFERROR(INDEX(確認申請料金表データ!C$422:Q$455,MATCH($K$16,確認申請料金表データ!B$422:B$455,0),MATCH($C273,確認申請料金表データ!C$3:Q$3,0)),"")</f>
        <v/>
      </c>
      <c r="K273" s="425" t="str">
        <f t="shared" ref="K273" si="64">IFERROR(+J273*H273,"")</f>
        <v/>
      </c>
      <c r="L273" s="422" t="str">
        <f t="shared" si="62"/>
        <v/>
      </c>
      <c r="M273" s="423" t="str">
        <f>+IF(M223="","",M223)</f>
        <v/>
      </c>
    </row>
    <row r="274" spans="2:15" s="398" customFormat="1" ht="15" customHeight="1" x14ac:dyDescent="0.15">
      <c r="B274" s="423" t="str">
        <f t="shared" si="61"/>
        <v/>
      </c>
      <c r="C274" s="423" t="str">
        <f t="shared" si="61"/>
        <v/>
      </c>
      <c r="D274" s="426"/>
      <c r="E274" s="426"/>
      <c r="F274" s="426"/>
      <c r="G274" s="426"/>
      <c r="H274" s="423" t="str">
        <f t="shared" si="63"/>
        <v/>
      </c>
      <c r="I274" s="423" t="str">
        <f t="shared" si="63"/>
        <v/>
      </c>
      <c r="J274" s="423" t="str">
        <f>+IF(J224="","",J224)</f>
        <v/>
      </c>
      <c r="K274" s="423" t="str">
        <f>+IF(K224="","",K224)</f>
        <v/>
      </c>
      <c r="L274" s="422" t="str">
        <f t="shared" si="62"/>
        <v/>
      </c>
      <c r="M274" s="423" t="str">
        <f>+IF(M224="","",M224)</f>
        <v/>
      </c>
    </row>
    <row r="275" spans="2:15" s="398" customFormat="1" ht="15" customHeight="1" x14ac:dyDescent="0.15">
      <c r="B275" s="423" t="str">
        <f t="shared" si="61"/>
        <v>□</v>
      </c>
      <c r="C275" s="423" t="str">
        <f t="shared" si="61"/>
        <v>加算手数料</v>
      </c>
      <c r="D275" s="426"/>
      <c r="E275" s="426"/>
      <c r="F275" s="426"/>
      <c r="G275" s="426"/>
      <c r="H275" s="428" t="str">
        <f t="shared" si="63"/>
        <v/>
      </c>
      <c r="I275" s="428" t="str">
        <f t="shared" si="63"/>
        <v/>
      </c>
      <c r="J275" s="424"/>
      <c r="K275" s="425"/>
      <c r="L275" s="422" t="str">
        <f t="shared" si="62"/>
        <v/>
      </c>
    </row>
    <row r="276" spans="2:15" s="398" customFormat="1" ht="15" customHeight="1" x14ac:dyDescent="0.15">
      <c r="B276" s="423" t="str">
        <f t="shared" si="61"/>
        <v/>
      </c>
      <c r="C276" s="423" t="str">
        <f t="shared" si="61"/>
        <v/>
      </c>
      <c r="D276" s="426"/>
      <c r="E276" s="426"/>
      <c r="F276" s="426"/>
      <c r="G276" s="426"/>
      <c r="H276" s="428" t="str">
        <f t="shared" si="63"/>
        <v/>
      </c>
      <c r="I276" s="428" t="str">
        <f t="shared" si="63"/>
        <v/>
      </c>
      <c r="J276" s="424" t="str">
        <f>IFERROR(INDEX(確認申請料金表データ!X$422:AN$445,MATCH($K$16,確認申請料金表データ!B$422:B$445,0),MATCH($C276,確認申請料金表データ!X$3:AN$3,0)),"")</f>
        <v/>
      </c>
      <c r="K276" s="425" t="str">
        <f>IFERROR(+J276*H276,"")</f>
        <v/>
      </c>
      <c r="L276" s="422" t="str">
        <f t="shared" si="62"/>
        <v/>
      </c>
    </row>
    <row r="277" spans="2:15" s="398" customFormat="1" ht="15" customHeight="1" x14ac:dyDescent="0.15">
      <c r="B277" s="423" t="str">
        <f t="shared" si="61"/>
        <v/>
      </c>
      <c r="C277" s="423" t="str">
        <f t="shared" si="61"/>
        <v/>
      </c>
      <c r="D277" s="426"/>
      <c r="E277" s="426"/>
      <c r="F277" s="426"/>
      <c r="G277" s="426"/>
      <c r="H277" s="428" t="str">
        <f t="shared" si="63"/>
        <v/>
      </c>
      <c r="I277" s="428" t="str">
        <f t="shared" si="63"/>
        <v/>
      </c>
      <c r="J277" s="424" t="str">
        <f>IFERROR(INDEX(確認申請料金表データ!X$422:AN$445,MATCH($K$16,確認申請料金表データ!B$422:B$445,0),MATCH($C277,確認申請料金表データ!X$3:AN$3,0)),"")</f>
        <v/>
      </c>
      <c r="K277" s="425" t="str">
        <f t="shared" ref="K277:K280" si="65">IFERROR(+J277*H277,"")</f>
        <v/>
      </c>
      <c r="L277" s="422" t="str">
        <f t="shared" si="62"/>
        <v/>
      </c>
      <c r="O277" s="430"/>
    </row>
    <row r="278" spans="2:15" s="398" customFormat="1" ht="15" customHeight="1" x14ac:dyDescent="0.15">
      <c r="B278" s="423" t="str">
        <f t="shared" si="61"/>
        <v/>
      </c>
      <c r="C278" s="423" t="str">
        <f t="shared" si="61"/>
        <v/>
      </c>
      <c r="D278" s="426"/>
      <c r="E278" s="426"/>
      <c r="F278" s="426"/>
      <c r="G278" s="426"/>
      <c r="H278" s="428" t="str">
        <f t="shared" si="63"/>
        <v/>
      </c>
      <c r="I278" s="428" t="str">
        <f t="shared" si="63"/>
        <v/>
      </c>
      <c r="J278" s="424" t="str">
        <f>IFERROR(INDEX(確認申請料金表データ!X$422:AN$445,MATCH($K$16,確認申請料金表データ!B$422:B$445,0),MATCH($C278,確認申請料金表データ!X$3:AN$3,0)),"")</f>
        <v/>
      </c>
      <c r="K278" s="425" t="str">
        <f t="shared" si="65"/>
        <v/>
      </c>
      <c r="L278" s="422" t="str">
        <f t="shared" si="62"/>
        <v/>
      </c>
    </row>
    <row r="279" spans="2:15" s="398" customFormat="1" ht="15" customHeight="1" x14ac:dyDescent="0.15">
      <c r="B279" s="423" t="str">
        <f t="shared" si="61"/>
        <v/>
      </c>
      <c r="C279" s="423" t="str">
        <f t="shared" si="61"/>
        <v/>
      </c>
      <c r="D279" s="426"/>
      <c r="E279" s="426"/>
      <c r="F279" s="426"/>
      <c r="G279" s="426"/>
      <c r="H279" s="428" t="str">
        <f t="shared" si="63"/>
        <v/>
      </c>
      <c r="I279" s="428" t="str">
        <f t="shared" si="63"/>
        <v/>
      </c>
      <c r="J279" s="424" t="str">
        <f>IFERROR(INDEX(確認申請料金表データ!X$422:AN$445,MATCH($K$16,確認申請料金表データ!B$422:B$445,0),MATCH($C279,確認申請料金表データ!X$3:AN$3,0)),"")</f>
        <v/>
      </c>
      <c r="K279" s="425" t="str">
        <f t="shared" si="65"/>
        <v/>
      </c>
      <c r="L279" s="422" t="str">
        <f t="shared" si="62"/>
        <v/>
      </c>
    </row>
    <row r="280" spans="2:15" s="398" customFormat="1" ht="15" customHeight="1" x14ac:dyDescent="0.15">
      <c r="B280" s="423" t="str">
        <f t="shared" si="61"/>
        <v/>
      </c>
      <c r="C280" s="423" t="str">
        <f t="shared" si="61"/>
        <v/>
      </c>
      <c r="D280" s="426"/>
      <c r="E280" s="426"/>
      <c r="F280" s="426"/>
      <c r="G280" s="426"/>
      <c r="H280" s="428" t="str">
        <f t="shared" si="63"/>
        <v/>
      </c>
      <c r="I280" s="428" t="str">
        <f t="shared" si="63"/>
        <v/>
      </c>
      <c r="J280" s="424" t="str">
        <f>IFERROR(INDEX(確認申請料金表データ!X$422:AN$445,MATCH($K$16,確認申請料金表データ!B$422:B$445,0),MATCH($C280,確認申請料金表データ!X$3:AN$3,0)),"")</f>
        <v/>
      </c>
      <c r="K280" s="425" t="str">
        <f t="shared" si="65"/>
        <v/>
      </c>
      <c r="L280" s="422" t="str">
        <f t="shared" si="62"/>
        <v/>
      </c>
    </row>
    <row r="281" spans="2:15" s="398" customFormat="1" ht="15" customHeight="1" x14ac:dyDescent="0.15">
      <c r="B281" s="423" t="str">
        <f t="shared" si="61"/>
        <v/>
      </c>
      <c r="C281" s="423" t="str">
        <f t="shared" si="61"/>
        <v/>
      </c>
      <c r="D281" s="423"/>
      <c r="E281" s="423"/>
      <c r="F281" s="423"/>
      <c r="G281" s="423"/>
      <c r="H281" s="428" t="str">
        <f t="shared" si="63"/>
        <v/>
      </c>
      <c r="I281" s="428" t="str">
        <f t="shared" si="63"/>
        <v/>
      </c>
      <c r="J281" s="424" t="str">
        <f>IFERROR(INDEX(確認申請料金表データ!X$422:AN$445,MATCH($K$16,確認申請料金表データ!B$422:B$445,0),MATCH($C281,確認申請料金表データ!X$3:AN$3,0)),"")</f>
        <v/>
      </c>
      <c r="K281" s="425" t="str">
        <f>IFERROR(+J281*H281,"")</f>
        <v/>
      </c>
      <c r="L281" s="422" t="str">
        <f t="shared" si="62"/>
        <v/>
      </c>
    </row>
    <row r="282" spans="2:15" s="398" customFormat="1" ht="15" customHeight="1" x14ac:dyDescent="0.15">
      <c r="B282" s="423" t="str">
        <f t="shared" si="61"/>
        <v/>
      </c>
      <c r="C282" s="423" t="str">
        <f t="shared" si="61"/>
        <v/>
      </c>
      <c r="D282" s="423"/>
      <c r="E282" s="423"/>
      <c r="F282" s="423"/>
      <c r="G282" s="423"/>
      <c r="H282" s="428" t="str">
        <f t="shared" si="63"/>
        <v/>
      </c>
      <c r="I282" s="428" t="str">
        <f t="shared" si="63"/>
        <v/>
      </c>
      <c r="J282" s="424" t="str">
        <f>IFERROR(INDEX(確認申請料金表データ!X$422:AN$445,MATCH($K$16,確認申請料金表データ!B$422:B$445,0),MATCH($C282,確認申請料金表データ!X$3:AN$3,0)),"")</f>
        <v/>
      </c>
      <c r="K282" s="425" t="str">
        <f>IFERROR(+J282*H282,"")</f>
        <v/>
      </c>
      <c r="L282" s="422" t="str">
        <f t="shared" si="62"/>
        <v/>
      </c>
    </row>
    <row r="283" spans="2:15" s="398" customFormat="1" ht="15" customHeight="1" x14ac:dyDescent="0.15">
      <c r="B283" s="423" t="str">
        <f t="shared" si="61"/>
        <v/>
      </c>
      <c r="C283" s="423" t="str">
        <f t="shared" si="61"/>
        <v/>
      </c>
      <c r="D283" s="423"/>
      <c r="E283" s="423"/>
      <c r="F283" s="423"/>
      <c r="G283" s="423"/>
      <c r="H283" s="428" t="str">
        <f t="shared" si="63"/>
        <v/>
      </c>
      <c r="I283" s="428" t="str">
        <f t="shared" si="63"/>
        <v/>
      </c>
      <c r="J283" s="424" t="str">
        <f>IFERROR(INDEX(確認申請料金表データ!X$422:AN$445,MATCH($K$16,確認申請料金表データ!B$422:B$445,0),MATCH($C283,確認申請料金表データ!X$3:AN$3,0)),"")</f>
        <v/>
      </c>
      <c r="K283" s="425" t="str">
        <f t="shared" ref="K283" si="66">IFERROR(+J283*H283,"")</f>
        <v/>
      </c>
      <c r="L283" s="422" t="str">
        <f t="shared" si="62"/>
        <v/>
      </c>
    </row>
    <row r="284" spans="2:15" s="398" customFormat="1" ht="15" customHeight="1" x14ac:dyDescent="0.15">
      <c r="B284" s="423" t="str">
        <f t="shared" si="61"/>
        <v/>
      </c>
      <c r="C284" s="423" t="str">
        <f t="shared" si="61"/>
        <v/>
      </c>
      <c r="D284" s="423" t="str">
        <f>+IF(D234="","",D234)</f>
        <v/>
      </c>
      <c r="E284" s="423" t="str">
        <f>+IF(E234="","",E234)</f>
        <v/>
      </c>
      <c r="F284" s="423" t="str">
        <f>+IF(F234="","",F234)</f>
        <v/>
      </c>
      <c r="G284" s="423" t="str">
        <f>+IF(G234="","",G234)</f>
        <v/>
      </c>
      <c r="H284" s="423" t="str">
        <f t="shared" si="63"/>
        <v/>
      </c>
      <c r="I284" s="423" t="str">
        <f t="shared" si="63"/>
        <v/>
      </c>
      <c r="J284" s="423" t="str">
        <f>+IF(J234="","",J234)</f>
        <v/>
      </c>
      <c r="K284" s="423" t="str">
        <f>+IF(K234="","",K234)</f>
        <v/>
      </c>
      <c r="L284" s="422" t="str">
        <f t="shared" si="62"/>
        <v/>
      </c>
      <c r="O284" s="429"/>
    </row>
    <row r="285" spans="2:15" s="398" customFormat="1" ht="15" customHeight="1" x14ac:dyDescent="0.15">
      <c r="B285" s="423" t="str">
        <f t="shared" si="61"/>
        <v>□</v>
      </c>
      <c r="C285" s="423" t="str">
        <f t="shared" si="61"/>
        <v>省エネ基準省令に基づく基準による審査(仕様基準)</v>
      </c>
      <c r="D285" s="426"/>
      <c r="E285" s="426"/>
      <c r="F285" s="426"/>
      <c r="G285" s="426"/>
      <c r="H285" s="428" t="str">
        <f t="shared" si="63"/>
        <v/>
      </c>
      <c r="I285" s="428" t="str">
        <f t="shared" si="63"/>
        <v/>
      </c>
      <c r="J285" s="424"/>
      <c r="K285" s="425"/>
      <c r="L285" s="422" t="str">
        <f t="shared" si="62"/>
        <v/>
      </c>
    </row>
    <row r="286" spans="2:15" s="398" customFormat="1" ht="15" customHeight="1" x14ac:dyDescent="0.15">
      <c r="B286" s="423" t="str">
        <f t="shared" si="61"/>
        <v/>
      </c>
      <c r="C286" s="423" t="str">
        <f t="shared" si="61"/>
        <v/>
      </c>
      <c r="D286" s="426"/>
      <c r="E286" s="426"/>
      <c r="F286" s="426"/>
      <c r="G286" s="426"/>
      <c r="H286" s="428" t="str">
        <f t="shared" si="63"/>
        <v/>
      </c>
      <c r="I286" s="428" t="str">
        <f t="shared" si="63"/>
        <v/>
      </c>
      <c r="J286" s="424" t="str">
        <f>IFERROR(INDEX(確認申請料金表データ!S$422:V$445,MATCH($K$16,確認申請料金表データ!B$422:B$445,0),MATCH($C286,確認申請料金表データ!S$3:V$3,0)),"")</f>
        <v/>
      </c>
      <c r="K286" s="425" t="str">
        <f t="shared" ref="K286:K287" si="67">IFERROR(+J286*H286,"")</f>
        <v/>
      </c>
      <c r="L286" s="422" t="str">
        <f t="shared" si="62"/>
        <v/>
      </c>
    </row>
    <row r="287" spans="2:15" s="398" customFormat="1" ht="15" customHeight="1" x14ac:dyDescent="0.15">
      <c r="B287" s="423" t="str">
        <f t="shared" si="61"/>
        <v/>
      </c>
      <c r="C287" s="423" t="str">
        <f t="shared" si="61"/>
        <v/>
      </c>
      <c r="D287" s="426"/>
      <c r="E287" s="426"/>
      <c r="F287" s="426"/>
      <c r="G287" s="426"/>
      <c r="H287" s="428" t="str">
        <f t="shared" si="63"/>
        <v/>
      </c>
      <c r="I287" s="428" t="str">
        <f t="shared" si="63"/>
        <v/>
      </c>
      <c r="J287" s="424" t="str">
        <f>IFERROR(INDEX(確認申請料金表データ!S$422:V$445,MATCH($K$16,確認申請料金表データ!B$422:B$445,0),MATCH($C287,確認申請料金表データ!S$3:V$3,0)),"")</f>
        <v/>
      </c>
      <c r="K287" s="425" t="str">
        <f t="shared" si="67"/>
        <v/>
      </c>
      <c r="L287" s="422" t="str">
        <f t="shared" si="62"/>
        <v/>
      </c>
    </row>
    <row r="288" spans="2:15" s="398" customFormat="1" ht="15" customHeight="1" x14ac:dyDescent="0.15">
      <c r="B288" s="423" t="str">
        <f t="shared" ref="B288:N292" si="68">+IF(B238="","",B238)</f>
        <v/>
      </c>
      <c r="C288" s="423" t="str">
        <f t="shared" si="68"/>
        <v/>
      </c>
      <c r="D288" s="426"/>
      <c r="E288" s="426"/>
      <c r="F288" s="426"/>
      <c r="G288" s="426"/>
      <c r="H288" s="422" t="str">
        <f t="shared" si="63"/>
        <v/>
      </c>
      <c r="I288" s="422" t="str">
        <f t="shared" si="63"/>
        <v/>
      </c>
      <c r="J288" s="422" t="str">
        <f t="shared" si="63"/>
        <v/>
      </c>
      <c r="K288" s="422" t="str">
        <f t="shared" si="63"/>
        <v/>
      </c>
      <c r="L288" s="422" t="str">
        <f t="shared" si="63"/>
        <v/>
      </c>
    </row>
    <row r="289" spans="2:15" s="398" customFormat="1" ht="15" customHeight="1" x14ac:dyDescent="0.15">
      <c r="B289" s="423" t="str">
        <f t="shared" si="68"/>
        <v/>
      </c>
      <c r="C289" s="423" t="str">
        <f t="shared" si="68"/>
        <v/>
      </c>
      <c r="D289" s="431"/>
      <c r="E289" s="431"/>
      <c r="F289" s="431"/>
      <c r="G289" s="431"/>
      <c r="H289" s="432" t="s">
        <v>21</v>
      </c>
      <c r="I289" s="433"/>
      <c r="J289" s="433"/>
      <c r="K289" s="434">
        <f>SUM(K268:K287)</f>
        <v>70000</v>
      </c>
      <c r="L289" s="422" t="str">
        <f t="shared" ref="L289" si="69">+IF(L239="","",L239)</f>
        <v>-</v>
      </c>
    </row>
    <row r="290" spans="2:15" s="398" customFormat="1" ht="15" customHeight="1" x14ac:dyDescent="0.15">
      <c r="B290" s="435" t="str">
        <f t="shared" si="68"/>
        <v>□</v>
      </c>
      <c r="C290" s="436" t="str">
        <f t="shared" si="68"/>
        <v>出張費及び交通費（当機関規定による）【課税対象、消費税込み】</v>
      </c>
      <c r="D290" s="437" t="str">
        <f t="shared" si="68"/>
        <v/>
      </c>
      <c r="E290" s="437" t="str">
        <f t="shared" si="68"/>
        <v/>
      </c>
      <c r="F290" s="437" t="str">
        <f t="shared" si="68"/>
        <v/>
      </c>
      <c r="G290" s="437" t="str">
        <f t="shared" si="68"/>
        <v/>
      </c>
      <c r="H290" s="438" t="str">
        <f t="shared" si="68"/>
        <v/>
      </c>
      <c r="I290" s="435" t="str">
        <f t="shared" si="68"/>
        <v/>
      </c>
      <c r="J290" s="439" t="str">
        <f t="shared" si="68"/>
        <v/>
      </c>
      <c r="K290" s="439" t="str">
        <f t="shared" si="68"/>
        <v/>
      </c>
      <c r="L290" s="435" t="str">
        <f t="shared" si="68"/>
        <v/>
      </c>
      <c r="M290" s="398" t="str">
        <f t="shared" si="68"/>
        <v/>
      </c>
      <c r="N290" s="398" t="str">
        <f t="shared" si="68"/>
        <v/>
      </c>
    </row>
    <row r="291" spans="2:15" s="398" customFormat="1" ht="15" customHeight="1" x14ac:dyDescent="0.15">
      <c r="B291" s="440" t="str">
        <f t="shared" si="68"/>
        <v/>
      </c>
      <c r="C291" s="440" t="str">
        <f t="shared" si="68"/>
        <v>出張交通費</v>
      </c>
      <c r="D291" s="441" t="str">
        <f t="shared" si="68"/>
        <v>東京都</v>
      </c>
      <c r="E291" s="426" t="str">
        <f t="shared" si="68"/>
        <v/>
      </c>
      <c r="F291" s="426" t="str">
        <f t="shared" si="68"/>
        <v/>
      </c>
      <c r="G291" s="442" t="str">
        <f t="shared" si="68"/>
        <v/>
      </c>
      <c r="H291" s="443">
        <f t="shared" si="68"/>
        <v>1</v>
      </c>
      <c r="I291" s="428" t="str">
        <f t="shared" si="68"/>
        <v>回</v>
      </c>
      <c r="J291" s="444">
        <f t="shared" si="68"/>
        <v>2200</v>
      </c>
      <c r="K291" s="425">
        <f t="shared" si="68"/>
        <v>2200</v>
      </c>
      <c r="L291" s="445" t="str">
        <f t="shared" si="68"/>
        <v>-</v>
      </c>
      <c r="M291" s="398" t="str">
        <f t="shared" si="68"/>
        <v/>
      </c>
      <c r="O291" s="429"/>
    </row>
    <row r="292" spans="2:15" s="398" customFormat="1" ht="15" customHeight="1" x14ac:dyDescent="0.15">
      <c r="B292" s="446" t="str">
        <f t="shared" si="68"/>
        <v/>
      </c>
      <c r="C292" s="447" t="str">
        <f t="shared" si="68"/>
        <v/>
      </c>
      <c r="D292" s="447" t="str">
        <f t="shared" si="68"/>
        <v/>
      </c>
      <c r="E292" s="447" t="str">
        <f t="shared" si="68"/>
        <v/>
      </c>
      <c r="F292" s="447" t="str">
        <f t="shared" si="68"/>
        <v/>
      </c>
      <c r="G292" s="447" t="str">
        <f t="shared" si="68"/>
        <v/>
      </c>
      <c r="H292" s="448" t="str">
        <f t="shared" si="68"/>
        <v>合     計</v>
      </c>
      <c r="I292" s="448"/>
      <c r="J292" s="449"/>
      <c r="K292" s="450">
        <f t="shared" si="68"/>
        <v>2200</v>
      </c>
      <c r="L292" s="446" t="str">
        <f t="shared" si="68"/>
        <v>-</v>
      </c>
      <c r="M292" s="398" t="str">
        <f t="shared" si="68"/>
        <v/>
      </c>
      <c r="N292" s="398" t="str">
        <f t="shared" si="68"/>
        <v/>
      </c>
    </row>
    <row r="293" spans="2:15" s="398" customFormat="1" ht="15" customHeight="1" thickBot="1" x14ac:dyDescent="0.2">
      <c r="C293" s="398" t="s">
        <v>91</v>
      </c>
      <c r="H293" s="451" t="s">
        <v>2</v>
      </c>
      <c r="I293" s="451"/>
      <c r="J293" s="451"/>
      <c r="K293" s="452">
        <f>K289+K292</f>
        <v>72200</v>
      </c>
      <c r="L293" s="453" t="s">
        <v>1</v>
      </c>
    </row>
    <row r="294" spans="2:15" s="398" customFormat="1" ht="15" customHeight="1" thickTop="1" x14ac:dyDescent="0.15">
      <c r="B294" s="409"/>
      <c r="C294" s="412" t="s">
        <v>19</v>
      </c>
      <c r="I294" s="454"/>
      <c r="J294" s="454"/>
      <c r="K294" s="455"/>
      <c r="L294" s="412"/>
    </row>
    <row r="295" spans="2:15" s="398" customFormat="1" ht="15" customHeight="1" x14ac:dyDescent="0.15">
      <c r="C295" s="412" t="s">
        <v>22</v>
      </c>
    </row>
    <row r="296" spans="2:15" s="398" customFormat="1" ht="15" customHeight="1" x14ac:dyDescent="0.15">
      <c r="C296" s="412" t="s">
        <v>16</v>
      </c>
    </row>
    <row r="297" spans="2:15" s="398" customFormat="1" ht="15" customHeight="1" x14ac:dyDescent="0.15">
      <c r="C297" s="412" t="s">
        <v>20</v>
      </c>
    </row>
    <row r="298" spans="2:15" s="398" customFormat="1" ht="15" customHeight="1" x14ac:dyDescent="0.15">
      <c r="C298" s="412" t="s">
        <v>18</v>
      </c>
    </row>
    <row r="299" spans="2:15" s="392" customFormat="1" ht="15" customHeight="1" x14ac:dyDescent="0.15">
      <c r="C299" s="398"/>
      <c r="K299" s="456"/>
      <c r="O299" s="398"/>
    </row>
    <row r="300" spans="2:15" s="392" customFormat="1" ht="16.5" customHeight="1" x14ac:dyDescent="0.15">
      <c r="L300" s="456" t="s">
        <v>32</v>
      </c>
    </row>
  </sheetData>
  <mergeCells count="43">
    <mergeCell ref="B64:G64"/>
    <mergeCell ref="G63:K63"/>
    <mergeCell ref="C54:D54"/>
    <mergeCell ref="J52:K52"/>
    <mergeCell ref="J252:K252"/>
    <mergeCell ref="J152:K152"/>
    <mergeCell ref="C154:D154"/>
    <mergeCell ref="G163:K163"/>
    <mergeCell ref="K164:L164"/>
    <mergeCell ref="J102:K102"/>
    <mergeCell ref="C104:D104"/>
    <mergeCell ref="D111:K111"/>
    <mergeCell ref="C254:D254"/>
    <mergeCell ref="B264:G264"/>
    <mergeCell ref="K264:L264"/>
    <mergeCell ref="J202:K202"/>
    <mergeCell ref="C204:D204"/>
    <mergeCell ref="H43:J43"/>
    <mergeCell ref="C31:G31"/>
    <mergeCell ref="C32:G32"/>
    <mergeCell ref="C33:G33"/>
    <mergeCell ref="C36:G36"/>
    <mergeCell ref="C37:G37"/>
    <mergeCell ref="C30:G30"/>
    <mergeCell ref="D15:G15"/>
    <mergeCell ref="H15:J15"/>
    <mergeCell ref="K16:L16"/>
    <mergeCell ref="E19:G19"/>
    <mergeCell ref="E20:G20"/>
    <mergeCell ref="E21:G21"/>
    <mergeCell ref="C26:G26"/>
    <mergeCell ref="C27:G27"/>
    <mergeCell ref="C28:G28"/>
    <mergeCell ref="C29:G29"/>
    <mergeCell ref="C22:G22"/>
    <mergeCell ref="C23:G23"/>
    <mergeCell ref="C18:D18"/>
    <mergeCell ref="J2:K2"/>
    <mergeCell ref="C4:F4"/>
    <mergeCell ref="D11:K11"/>
    <mergeCell ref="G13:K13"/>
    <mergeCell ref="B14:G14"/>
    <mergeCell ref="K14:L14"/>
  </mergeCells>
  <phoneticPr fontId="4"/>
  <printOptions horizontalCentered="1" verticalCentered="1"/>
  <pageMargins left="0.39370078740157483" right="0.39370078740157483" top="0.39370078740157483" bottom="0" header="0" footer="0"/>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showInputMessage="1" showErrorMessage="1" xr:uid="{61B28443-4299-425E-B16A-CB7D4F7BBF7E}">
          <x14:formula1>
            <xm:f>確認申請料金表データ!$B$3:$J$3</xm:f>
          </x14:formula1>
          <xm:sqref>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B27CC-DB8D-4E50-BA59-2AA689C92802}">
  <sheetPr>
    <tabColor rgb="FFFFC000"/>
  </sheetPr>
  <dimension ref="B1:X50"/>
  <sheetViews>
    <sheetView view="pageBreakPreview" topLeftCell="A19" zoomScaleNormal="100" zoomScaleSheetLayoutView="100" workbookViewId="0">
      <selection activeCell="C18" sqref="C18:D18"/>
    </sheetView>
  </sheetViews>
  <sheetFormatPr defaultColWidth="3.625" defaultRowHeight="16.5" customHeight="1" x14ac:dyDescent="0.15"/>
  <cols>
    <col min="1" max="1" width="0.625" style="1" customWidth="1"/>
    <col min="2" max="2" width="2.75" style="1" customWidth="1"/>
    <col min="3" max="3" width="19.625" style="1" customWidth="1"/>
    <col min="4" max="4" width="17.625" style="1" customWidth="1"/>
    <col min="5" max="5" width="5.25" style="1" customWidth="1"/>
    <col min="6" max="6" width="4.75" style="1" customWidth="1"/>
    <col min="7" max="7" width="7.25" style="1" customWidth="1"/>
    <col min="8" max="9" width="4.75" style="1" customWidth="1"/>
    <col min="10" max="10" width="8.75" style="1" customWidth="1"/>
    <col min="11" max="11" width="13.25" style="1" customWidth="1"/>
    <col min="12" max="12" width="2.75" style="1" customWidth="1"/>
    <col min="13" max="13" width="0.625" style="1" customWidth="1"/>
    <col min="14" max="15" width="3.625" style="1"/>
    <col min="16" max="19" width="30.75" style="1" customWidth="1"/>
    <col min="20" max="20" width="33.125" style="1" customWidth="1"/>
    <col min="21" max="16384" width="3.625" style="1"/>
  </cols>
  <sheetData>
    <row r="1" spans="2:24" ht="19.5" customHeight="1" x14ac:dyDescent="0.15">
      <c r="B1" s="204" t="s">
        <v>29</v>
      </c>
      <c r="C1" s="205"/>
      <c r="D1" s="204"/>
      <c r="E1" s="206"/>
      <c r="F1" s="206"/>
      <c r="G1" s="206"/>
      <c r="H1" s="205"/>
      <c r="I1" s="205"/>
      <c r="J1" s="205"/>
      <c r="K1" s="205"/>
      <c r="L1" s="205"/>
    </row>
    <row r="2" spans="2:24" ht="15" customHeight="1" x14ac:dyDescent="0.15">
      <c r="B2" s="160"/>
      <c r="C2" s="160"/>
      <c r="D2" s="160"/>
      <c r="E2" s="207"/>
      <c r="F2" s="207"/>
      <c r="G2" s="207"/>
      <c r="H2" s="207"/>
      <c r="I2" s="207"/>
      <c r="J2" s="733">
        <f ca="1">TODAY()</f>
        <v>45848</v>
      </c>
      <c r="K2" s="733"/>
      <c r="L2" s="207"/>
      <c r="R2" s="344"/>
      <c r="S2" s="344"/>
      <c r="T2" s="344"/>
      <c r="U2" s="2"/>
      <c r="V2" s="2"/>
    </row>
    <row r="3" spans="2:24" ht="15" customHeight="1" x14ac:dyDescent="0.15">
      <c r="B3" s="160"/>
      <c r="C3" s="160"/>
      <c r="D3" s="160"/>
      <c r="E3" s="207"/>
      <c r="F3" s="207"/>
      <c r="G3" s="207"/>
      <c r="H3" s="207"/>
      <c r="I3" s="207"/>
      <c r="J3" s="378"/>
      <c r="K3" s="378"/>
      <c r="L3" s="207"/>
      <c r="R3" s="351"/>
      <c r="S3" s="351"/>
      <c r="T3" s="351"/>
      <c r="U3" s="2"/>
      <c r="V3" s="2"/>
    </row>
    <row r="4" spans="2:24" ht="15" customHeight="1" x14ac:dyDescent="0.15">
      <c r="B4" s="160"/>
      <c r="C4" s="734" t="str">
        <f>+入力シート!E9&amp;"　　"&amp;入力シート!G9</f>
        <v>　　御中</v>
      </c>
      <c r="D4" s="735"/>
      <c r="E4" s="736"/>
      <c r="F4" s="736"/>
      <c r="G4" s="160"/>
      <c r="H4" s="160"/>
      <c r="I4" s="160"/>
      <c r="J4" s="160"/>
      <c r="K4" s="160"/>
      <c r="L4" s="160"/>
      <c r="R4" s="344"/>
      <c r="S4" s="344"/>
      <c r="T4" s="344"/>
      <c r="U4" s="2"/>
      <c r="V4" s="2"/>
      <c r="W4" s="2"/>
      <c r="X4" s="2"/>
    </row>
    <row r="5" spans="2:24" ht="15" customHeight="1" x14ac:dyDescent="0.15">
      <c r="B5" s="160"/>
      <c r="C5" s="162"/>
      <c r="D5" s="160"/>
      <c r="E5" s="160"/>
      <c r="F5" s="160"/>
      <c r="G5" s="160"/>
      <c r="H5" s="160"/>
      <c r="I5" s="160"/>
      <c r="J5" s="160"/>
      <c r="K5" s="160"/>
      <c r="L5" s="160"/>
      <c r="R5" s="351"/>
      <c r="S5" s="351"/>
      <c r="T5" s="351"/>
      <c r="U5" s="2"/>
      <c r="V5" s="2"/>
      <c r="W5" s="2"/>
      <c r="X5" s="2"/>
    </row>
    <row r="6" spans="2:24" ht="15" customHeight="1" x14ac:dyDescent="0.15">
      <c r="B6" s="160"/>
      <c r="C6" s="160"/>
      <c r="D6" s="160"/>
      <c r="E6" s="160"/>
      <c r="F6" s="160"/>
      <c r="G6" s="160"/>
      <c r="H6" s="158" t="str" cm="1">
        <f t="array" ref="H6">_xlfn.IFS(入力シート!$E$8=基本入力データシート!$D$3,基本入力データシート!$E$3,入力シート!$E$8=基本入力データシート!$D$7,基本入力データシート!$E$7,入力シート!$E$8=基本入力データシート!$D$8,基本入力データシート!$E$8,入力シート!$E$8=基本入力データシート!$D$4,基本入力データシート!$E$4,入力シート!$E$8=基本入力データシート!$D$5,基本入力データシート!$E$5,入力シート!$E$8=基本入力データシート!$D$6,基本入力データシート!$E$6)</f>
        <v>〒150-0002  東京都渋谷区渋谷1-13-9</v>
      </c>
      <c r="I6" s="159"/>
      <c r="J6" s="160"/>
      <c r="K6" s="160"/>
      <c r="L6" s="160"/>
      <c r="R6" s="344"/>
      <c r="S6" s="344"/>
      <c r="T6" s="344"/>
      <c r="U6" s="2"/>
      <c r="V6" s="2"/>
      <c r="W6" s="2"/>
      <c r="X6" s="2"/>
    </row>
    <row r="7" spans="2:24" ht="15" customHeight="1" x14ac:dyDescent="0.15">
      <c r="B7" s="160"/>
      <c r="C7" s="160"/>
      <c r="D7" s="160"/>
      <c r="E7" s="160"/>
      <c r="F7" s="160"/>
      <c r="G7" s="160"/>
      <c r="H7" s="158" t="str" cm="1">
        <f t="array" ref="H7">_xlfn.IFS(入力シート!$E$8=基本入力データシート!$D$3,基本入力データシート!$F$3,入力シート!$E$8=基本入力データシート!$D$7,基本入力データシート!$F$7,入力シート!$E$8=基本入力データシート!$D$8,基本入力データシート!$F$8,入力シート!$E$8=基本入力データシート!$D$4,基本入力データシート!$F$4,入力シート!$E$8=基本入力データシート!$D$5,基本入力データシート!$F$5,入力シート!$E$8=基本入力データシート!$D$6,基本入力データシート!$F$6)</f>
        <v>株式会社 J 建築検査センター</v>
      </c>
      <c r="I7" s="161"/>
      <c r="J7" s="160"/>
      <c r="K7" s="160"/>
      <c r="L7" s="208"/>
      <c r="M7" s="5"/>
      <c r="R7" s="351"/>
      <c r="S7" s="351"/>
      <c r="T7" s="351"/>
      <c r="U7" s="2"/>
      <c r="V7" s="2"/>
      <c r="W7" s="2"/>
      <c r="X7" s="2"/>
    </row>
    <row r="8" spans="2:24" ht="15" customHeight="1" x14ac:dyDescent="0.15">
      <c r="B8" s="160"/>
      <c r="C8" s="160"/>
      <c r="D8" s="160"/>
      <c r="E8" s="160"/>
      <c r="F8" s="160"/>
      <c r="G8" s="160"/>
      <c r="H8" s="158" t="str" cm="1">
        <f t="array" ref="H8">_xlfn.IFS(入力シート!$E$8=基本入力データシート!$D$3,基本入力データシート!$G$3,入力シート!$E$8=基本入力データシート!$D$7,基本入力データシート!$G$7,入力シート!$E$8=基本入力データシート!$D$8,基本入力データシート!$G$8,入力シート!$E$8=基本入力データシート!$D$4,基本入力データシート!$G$4,入力シート!$E$8=基本入力データシート!$D$5,基本入力データシート!$G$5,入力シート!$E$8=基本入力データシート!$D$6,基本入力データシート!$G$6)</f>
        <v>TEL:03-5464-7778　FAX:03-5464-7779</v>
      </c>
      <c r="I8" s="161"/>
      <c r="J8" s="160"/>
      <c r="K8" s="160"/>
      <c r="L8" s="160"/>
      <c r="R8" s="344"/>
      <c r="S8" s="344"/>
      <c r="T8" s="344"/>
      <c r="U8" s="2"/>
      <c r="V8" s="2"/>
      <c r="W8" s="2"/>
      <c r="X8" s="2"/>
    </row>
    <row r="9" spans="2:24" ht="15" customHeight="1" x14ac:dyDescent="0.15">
      <c r="B9" s="160"/>
      <c r="C9" s="209" t="s">
        <v>3</v>
      </c>
      <c r="D9" s="160"/>
      <c r="E9" s="160"/>
      <c r="F9" s="160"/>
      <c r="G9" s="160"/>
      <c r="H9" s="160"/>
      <c r="I9" s="161"/>
      <c r="J9" s="160"/>
      <c r="K9" s="160"/>
      <c r="L9" s="160"/>
      <c r="R9" s="351"/>
      <c r="S9" s="351"/>
      <c r="T9" s="351"/>
      <c r="U9" s="2"/>
      <c r="V9" s="2"/>
      <c r="W9" s="2"/>
      <c r="X9" s="2"/>
    </row>
    <row r="10" spans="2:24" ht="11.25" customHeight="1" x14ac:dyDescent="0.15">
      <c r="B10" s="160"/>
      <c r="C10" s="210"/>
      <c r="D10" s="210"/>
      <c r="E10" s="210"/>
      <c r="F10" s="210"/>
      <c r="G10" s="210"/>
      <c r="H10" s="210"/>
      <c r="I10" s="210"/>
      <c r="J10" s="210"/>
      <c r="K10" s="210"/>
      <c r="L10" s="160"/>
      <c r="R10" s="344"/>
      <c r="S10" s="344"/>
      <c r="T10" s="344"/>
      <c r="U10" s="2"/>
      <c r="V10" s="2"/>
      <c r="W10" s="2"/>
      <c r="X10" s="2"/>
    </row>
    <row r="11" spans="2:24" s="10" customFormat="1" ht="24" customHeight="1" x14ac:dyDescent="0.15">
      <c r="B11" s="211"/>
      <c r="C11" s="212" t="s">
        <v>7</v>
      </c>
      <c r="D11" s="737">
        <f>+入力シート!$E$10</f>
        <v>0</v>
      </c>
      <c r="E11" s="738"/>
      <c r="F11" s="738"/>
      <c r="G11" s="738"/>
      <c r="H11" s="738"/>
      <c r="I11" s="738"/>
      <c r="J11" s="738"/>
      <c r="K11" s="738"/>
      <c r="L11" s="211"/>
      <c r="P11" s="1"/>
      <c r="Q11" s="1"/>
      <c r="R11" s="351"/>
      <c r="S11" s="351"/>
      <c r="T11" s="351"/>
      <c r="U11" s="2"/>
      <c r="V11" s="2"/>
      <c r="W11" s="2"/>
      <c r="X11" s="2"/>
    </row>
    <row r="12" spans="2:24" s="10" customFormat="1" ht="24" customHeight="1" x14ac:dyDescent="0.15">
      <c r="B12" s="211"/>
      <c r="C12" s="213" t="s">
        <v>6</v>
      </c>
      <c r="D12" s="163">
        <f>+$K$42</f>
        <v>0</v>
      </c>
      <c r="E12" s="214" t="s">
        <v>14</v>
      </c>
      <c r="F12" s="214"/>
      <c r="G12" s="214"/>
      <c r="H12" s="214"/>
      <c r="I12" s="215"/>
      <c r="J12" s="215"/>
      <c r="K12" s="215"/>
      <c r="L12" s="211"/>
      <c r="P12" s="1"/>
      <c r="Q12" s="1"/>
      <c r="R12" s="344"/>
      <c r="S12" s="344"/>
      <c r="T12" s="344"/>
      <c r="U12" s="2"/>
      <c r="V12" s="2"/>
      <c r="W12" s="2"/>
      <c r="X12" s="2"/>
    </row>
    <row r="13" spans="2:24" s="2" customFormat="1" ht="15" customHeight="1" x14ac:dyDescent="0.15">
      <c r="B13" s="219"/>
      <c r="C13" s="216" t="s">
        <v>4</v>
      </c>
      <c r="D13" s="217" t="s">
        <v>8</v>
      </c>
      <c r="E13" s="218" t="s">
        <v>5</v>
      </c>
      <c r="F13" s="216"/>
      <c r="G13" s="739"/>
      <c r="H13" s="740"/>
      <c r="I13" s="740"/>
      <c r="J13" s="740"/>
      <c r="K13" s="740"/>
      <c r="L13" s="158"/>
      <c r="P13" s="1"/>
      <c r="Q13" s="1"/>
      <c r="R13" s="351"/>
      <c r="S13" s="351"/>
      <c r="T13" s="351"/>
    </row>
    <row r="14" spans="2:24" s="2" customFormat="1" ht="15" customHeight="1" x14ac:dyDescent="0.15">
      <c r="B14" s="741" t="s">
        <v>9</v>
      </c>
      <c r="C14" s="741"/>
      <c r="D14" s="741"/>
      <c r="E14" s="741"/>
      <c r="F14" s="741"/>
      <c r="G14" s="741"/>
      <c r="H14" s="222" t="s">
        <v>10</v>
      </c>
      <c r="I14" s="223" t="s">
        <v>0</v>
      </c>
      <c r="J14" s="224" t="s">
        <v>11</v>
      </c>
      <c r="K14" s="742" t="s">
        <v>12</v>
      </c>
      <c r="L14" s="741"/>
      <c r="P14" s="1"/>
      <c r="Q14" s="1"/>
      <c r="R14" s="344"/>
      <c r="S14" s="344"/>
      <c r="T14" s="344"/>
    </row>
    <row r="15" spans="2:24" s="2" customFormat="1" ht="15" customHeight="1" x14ac:dyDescent="0.15">
      <c r="B15" s="220"/>
      <c r="C15" s="164" t="s">
        <v>730</v>
      </c>
      <c r="D15" s="746" t="str">
        <f>+入力シート!$E$12&amp;入力シート!$F$12&amp;入力シート!$G$12</f>
        <v>東京都</v>
      </c>
      <c r="E15" s="738"/>
      <c r="F15" s="738"/>
      <c r="G15" s="738"/>
      <c r="H15" s="747" t="str">
        <f>+入力シート!$E$16</f>
        <v>一戸建ての住宅</v>
      </c>
      <c r="I15" s="748"/>
      <c r="J15" s="748"/>
      <c r="K15" s="166" t="str">
        <f>IF(入力シート!F16="","",入力シート!F16)</f>
        <v/>
      </c>
      <c r="L15" s="187" t="str">
        <f>IF(K15="","","戸")</f>
        <v/>
      </c>
      <c r="P15" s="1"/>
      <c r="Q15" s="1"/>
      <c r="R15" s="351"/>
      <c r="S15" s="351"/>
      <c r="T15" s="351"/>
    </row>
    <row r="16" spans="2:24" s="2" customFormat="1" ht="15" customHeight="1" x14ac:dyDescent="0.15">
      <c r="B16" s="221"/>
      <c r="C16" s="165" t="s">
        <v>731</v>
      </c>
      <c r="D16" s="167" t="str">
        <f>+入力シート!$E$14</f>
        <v>木造</v>
      </c>
      <c r="E16" s="189" t="s">
        <v>46</v>
      </c>
      <c r="F16" s="168">
        <f>+入力シート!$G$14</f>
        <v>2</v>
      </c>
      <c r="G16" s="190" t="s">
        <v>17</v>
      </c>
      <c r="H16" s="187" t="str">
        <f>IF(入力シート!$H$14="","-",入力シート!$H$14)</f>
        <v>-</v>
      </c>
      <c r="I16" s="191" t="s">
        <v>31</v>
      </c>
      <c r="J16" s="192" t="s">
        <v>30</v>
      </c>
      <c r="K16" s="749" t="str">
        <f>IFERROR(IF(入力シート!$H$34&lt;&gt;"",入力シート!$H$34,(_xlfn.XLOOKUP(入力シート!$F$14,基本入力データシート!$AG$3:$AG$32,基本入力データシート!$AH$3:$AH$32))),"")</f>
        <v>0-100㎡未満</v>
      </c>
      <c r="L16" s="750"/>
      <c r="P16" s="1"/>
      <c r="Q16" s="1"/>
      <c r="R16" s="344"/>
      <c r="S16" s="344"/>
      <c r="T16" s="344"/>
    </row>
    <row r="17" spans="2:20" s="2" customFormat="1" ht="15" customHeight="1" x14ac:dyDescent="0.15">
      <c r="B17" s="333" t="s">
        <v>39</v>
      </c>
      <c r="C17" s="375" t="s">
        <v>130</v>
      </c>
      <c r="D17" s="188"/>
      <c r="E17" s="226"/>
      <c r="F17" s="226"/>
      <c r="G17" s="226"/>
      <c r="H17" s="4"/>
      <c r="I17" s="4"/>
      <c r="J17" s="28"/>
      <c r="K17" s="24"/>
      <c r="L17" s="12"/>
      <c r="P17" s="1"/>
      <c r="Q17" s="1"/>
      <c r="R17" s="344"/>
      <c r="S17" s="344"/>
      <c r="T17" s="344"/>
    </row>
    <row r="18" spans="2:20" s="2" customFormat="1" ht="15" customHeight="1" x14ac:dyDescent="0.15">
      <c r="B18" s="186"/>
      <c r="C18" s="12"/>
      <c r="D18" s="12"/>
      <c r="E18" s="31"/>
      <c r="F18" s="31"/>
      <c r="G18" s="31"/>
      <c r="H18" s="4"/>
      <c r="I18" s="4"/>
      <c r="J18" s="156"/>
      <c r="K18" s="24"/>
      <c r="L18" s="186"/>
      <c r="P18" s="1"/>
      <c r="Q18" s="1"/>
      <c r="R18" s="351"/>
      <c r="S18" s="351"/>
      <c r="T18" s="351"/>
    </row>
    <row r="19" spans="2:20" s="2" customFormat="1" ht="15" customHeight="1" x14ac:dyDescent="0.15">
      <c r="B19" s="353" t="s">
        <v>13</v>
      </c>
      <c r="C19" s="192" t="s">
        <v>181</v>
      </c>
      <c r="D19" s="12"/>
      <c r="E19" s="31"/>
      <c r="F19" s="31"/>
      <c r="G19" s="31"/>
      <c r="H19" s="4"/>
      <c r="I19" s="4"/>
      <c r="J19" s="28"/>
      <c r="K19" s="24"/>
      <c r="L19" s="12"/>
      <c r="P19" s="1"/>
      <c r="Q19" s="1"/>
      <c r="R19" s="344"/>
      <c r="S19" s="344"/>
      <c r="T19" s="344"/>
    </row>
    <row r="20" spans="2:20" s="2" customFormat="1" ht="15" customHeight="1" x14ac:dyDescent="0.15">
      <c r="B20" s="335" t="s">
        <v>179</v>
      </c>
      <c r="C20" s="225" t="s">
        <v>131</v>
      </c>
      <c r="D20" s="12"/>
      <c r="E20" s="31"/>
      <c r="F20" s="31"/>
      <c r="G20" s="31"/>
      <c r="H20" s="4"/>
      <c r="I20" s="4"/>
      <c r="J20" s="156"/>
      <c r="K20" s="24"/>
      <c r="L20" s="12"/>
      <c r="P20" s="1"/>
      <c r="Q20" s="1"/>
      <c r="R20" s="351"/>
      <c r="S20" s="351"/>
      <c r="T20" s="351"/>
    </row>
    <row r="21" spans="2:20" s="2" customFormat="1" ht="15" customHeight="1" x14ac:dyDescent="0.15">
      <c r="B21" s="185" t="str">
        <f t="shared" ref="B21" si="0">IF($C21="","","・")</f>
        <v/>
      </c>
      <c r="C21" s="225" t="str">
        <f>IF(OR(入力シート!$G$34=基本入力データシート!$T$4,入力シート!$G$34=基本入力データシート!$T$6),_xlfn.XLOOKUP(基本入力データシート!$S$5,基本入力データシート!$V$4:$V$6,基本入力データシート!W4:W6),"")</f>
        <v/>
      </c>
      <c r="D21" s="188"/>
      <c r="E21" s="501"/>
      <c r="F21" s="501"/>
      <c r="G21" s="502"/>
      <c r="H21" s="174" t="str">
        <f>IF($C21="","",1)</f>
        <v/>
      </c>
      <c r="I21" s="174" t="str">
        <f>IF($C21="","","式")</f>
        <v/>
      </c>
      <c r="J21" s="175" t="str">
        <f>IFERROR(INDEX(省エネ料金表データ!$B$5:$P$24,MATCH($K$16,省エネ料金表データ!$A$5:$A$24,0),MATCH($C21,省エネ料金表データ!$B$4:$P$4,0)),"")</f>
        <v/>
      </c>
      <c r="K21" s="176" t="str">
        <f>IFERROR(+J21*H21,"")</f>
        <v/>
      </c>
      <c r="L21" s="185" t="str">
        <f>IF($C21="","","-")</f>
        <v/>
      </c>
      <c r="P21" s="1"/>
      <c r="Q21" s="1"/>
      <c r="R21" s="344"/>
      <c r="S21" s="344"/>
      <c r="T21" s="344"/>
    </row>
    <row r="22" spans="2:20" s="2" customFormat="1" ht="15" customHeight="1" x14ac:dyDescent="0.15">
      <c r="B22" s="334"/>
      <c r="C22" s="7"/>
      <c r="D22" s="12"/>
      <c r="E22" s="12"/>
      <c r="F22" s="12"/>
      <c r="G22" s="12"/>
      <c r="H22" s="4"/>
      <c r="I22" s="4"/>
      <c r="J22" s="156"/>
      <c r="K22" s="24"/>
    </row>
    <row r="23" spans="2:20" s="2" customFormat="1" ht="15" customHeight="1" x14ac:dyDescent="0.15">
      <c r="B23" s="186"/>
      <c r="C23" s="12"/>
      <c r="D23" s="12"/>
      <c r="E23" s="12"/>
      <c r="F23" s="12"/>
      <c r="G23" s="12"/>
      <c r="H23" s="4"/>
      <c r="I23" s="4"/>
      <c r="J23" s="156"/>
      <c r="K23" s="24"/>
      <c r="L23" s="186"/>
    </row>
    <row r="24" spans="2:20" s="2" customFormat="1" ht="15" customHeight="1" x14ac:dyDescent="0.15">
      <c r="B24" s="335" t="s">
        <v>180</v>
      </c>
      <c r="C24" s="225" t="s">
        <v>90</v>
      </c>
      <c r="D24" s="12"/>
      <c r="E24" s="12"/>
      <c r="F24" s="12"/>
      <c r="G24" s="12"/>
      <c r="H24" s="4"/>
      <c r="I24" s="4"/>
      <c r="J24" s="156"/>
      <c r="K24" s="24"/>
      <c r="L24" s="12"/>
      <c r="P24" s="1"/>
      <c r="Q24" s="1"/>
      <c r="R24" s="351"/>
      <c r="S24" s="351"/>
      <c r="T24" s="351"/>
    </row>
    <row r="25" spans="2:20" s="2" customFormat="1" ht="15" customHeight="1" x14ac:dyDescent="0.15">
      <c r="B25" s="185" t="str">
        <f t="shared" ref="B25" si="1">IF($C25="","","・")</f>
        <v/>
      </c>
      <c r="C25" s="225" t="str">
        <f>IF(OR(入力シート!$G$34=基本入力データシート!$T$5,入力シート!$G$34=基本入力データシート!$T$6),_xlfn.XLOOKUP(基本入力データシート!$S$5,基本入力データシート!$V$4:$V$6,基本入力データシート!$X$4:$X$6),"")</f>
        <v/>
      </c>
      <c r="D25" s="188"/>
      <c r="E25" s="226"/>
      <c r="F25" s="226"/>
      <c r="G25" s="226"/>
      <c r="H25" s="174" t="str">
        <f>IF($C25="","",1)</f>
        <v/>
      </c>
      <c r="I25" s="174" t="str">
        <f>IF($C25="","","式")</f>
        <v/>
      </c>
      <c r="J25" s="175" t="str">
        <f>IFERROR(INDEX(省エネ料金表データ!$R$5:$T$24,MATCH($K$16,省エネ料金表データ!$A$5:$A$24,0),MATCH($C25,省エネ料金表データ!$R$4:$T$4,0)),"")</f>
        <v/>
      </c>
      <c r="K25" s="176" t="str">
        <f>IFERROR(+J25*H25,"")</f>
        <v/>
      </c>
      <c r="L25" s="185" t="str">
        <f>IF($C25="","","-")</f>
        <v/>
      </c>
      <c r="P25" s="1"/>
      <c r="Q25" s="1"/>
      <c r="R25" s="344"/>
      <c r="S25" s="344"/>
      <c r="T25" s="344"/>
    </row>
    <row r="26" spans="2:20" ht="16.5" customHeight="1" x14ac:dyDescent="0.15">
      <c r="H26" s="4"/>
      <c r="I26" s="4"/>
      <c r="J26" s="156"/>
      <c r="K26" s="24"/>
      <c r="L26" s="12"/>
    </row>
    <row r="27" spans="2:20" s="2" customFormat="1" ht="15" customHeight="1" x14ac:dyDescent="0.15">
      <c r="B27" s="188" t="str">
        <f>+IF(入力シート!G34="モデル建物法か標準入力法かまだ決まっていない","※省エネの申請がモデル法と標準法の両方の見積提示致します。申請はどちらか１方となります。（上記+消費税）","")</f>
        <v/>
      </c>
      <c r="C27" s="188"/>
      <c r="D27" s="188"/>
      <c r="E27" s="226"/>
      <c r="F27" s="226"/>
      <c r="G27" s="226"/>
      <c r="H27" s="169"/>
      <c r="I27" s="169"/>
      <c r="J27" s="269"/>
      <c r="K27" s="170"/>
      <c r="L27" s="185"/>
      <c r="P27" s="1"/>
      <c r="Q27" s="1"/>
      <c r="R27" s="351"/>
      <c r="S27" s="351"/>
      <c r="T27" s="351"/>
    </row>
    <row r="28" spans="2:20" s="2" customFormat="1" ht="15" customHeight="1" x14ac:dyDescent="0.15">
      <c r="B28" s="12"/>
      <c r="C28" s="12"/>
      <c r="D28" s="12"/>
      <c r="E28" s="31"/>
      <c r="F28" s="31"/>
      <c r="G28" s="31"/>
      <c r="H28" s="4"/>
      <c r="I28" s="4"/>
      <c r="J28" s="156"/>
      <c r="K28" s="24"/>
      <c r="L28" s="186"/>
      <c r="P28" s="1"/>
      <c r="Q28" s="1"/>
      <c r="R28" s="351"/>
      <c r="S28" s="351"/>
      <c r="T28" s="351"/>
    </row>
    <row r="29" spans="2:20" s="2" customFormat="1" ht="15" customHeight="1" x14ac:dyDescent="0.15">
      <c r="B29" s="335" t="s">
        <v>13</v>
      </c>
      <c r="C29" s="225" t="s">
        <v>132</v>
      </c>
      <c r="D29" s="12"/>
      <c r="E29" s="31"/>
      <c r="F29" s="31"/>
      <c r="G29" s="31"/>
      <c r="H29" s="4"/>
      <c r="I29" s="4"/>
      <c r="J29" s="156"/>
      <c r="K29" s="24"/>
      <c r="L29" s="186"/>
      <c r="P29" s="1"/>
      <c r="Q29" s="1"/>
      <c r="R29" s="344"/>
      <c r="S29" s="344"/>
      <c r="T29" s="344"/>
    </row>
    <row r="30" spans="2:20" s="2" customFormat="1" ht="15" customHeight="1" x14ac:dyDescent="0.15">
      <c r="B30" s="185" t="str">
        <f t="shared" ref="B30:B32" si="2">IF($C30="","","・")</f>
        <v/>
      </c>
      <c r="C30" s="225" t="str">
        <f>IF(基本入力データシート!AC5="〇",_xlfn.XLOOKUP(入力シート!$G$34,基本入力データシート!$Y$4:$Y$10,基本入力データシート!$Z$4:$Z$10),"")</f>
        <v/>
      </c>
      <c r="D30" s="12"/>
      <c r="E30" s="12"/>
      <c r="F30" s="31"/>
      <c r="G30" s="31"/>
      <c r="H30" s="177"/>
      <c r="I30" s="177"/>
      <c r="J30" s="178"/>
      <c r="K30" s="179"/>
      <c r="L30" s="186"/>
      <c r="P30" s="1"/>
      <c r="Q30" s="1"/>
      <c r="R30" s="351"/>
      <c r="S30" s="351"/>
      <c r="T30" s="351"/>
    </row>
    <row r="31" spans="2:20" s="2" customFormat="1" ht="15" customHeight="1" x14ac:dyDescent="0.15">
      <c r="B31" s="185"/>
      <c r="C31" s="744" t="str" cm="1">
        <f t="array" ref="C31">+_xlfn.IFS(C30="","",AND(H15="一戸建ての住宅",基本入力データシート!$AC$7="〇"),省エネ料金表データ!$X$4,AND(H15="一戸建ての住宅",基本入力データシート!$AC$7="×"),省エネ料金表データ!$Y$4,K15="","",AND(基本入力データシート!AC6="〇",K15&lt;30),省エネ料金表データ!$Z$4,AND(基本入力データシート!AC6="〇",K15&gt;=30),省エネ料金表データ!$AA$4)</f>
        <v/>
      </c>
      <c r="D31" s="744"/>
      <c r="E31" s="188"/>
      <c r="F31" s="226"/>
      <c r="G31" s="226"/>
      <c r="H31" s="174" t="str">
        <f>+IF($C31="","",1)</f>
        <v/>
      </c>
      <c r="I31" s="174" t="str">
        <f>+IF($C31="","","式")</f>
        <v/>
      </c>
      <c r="J31" s="175" t="str">
        <f>+IFERROR(INDEX(省エネ料金表データ!$X$5:$AH$6,MATCH($C$30,省エネ料金表データ!$W$5:$W$6,0),MATCH($C31,省エネ料金表データ!$X$4:$AH$4,0)),"")</f>
        <v/>
      </c>
      <c r="K31" s="176" t="str">
        <f>+IFERROR(+J31*H31,"")</f>
        <v/>
      </c>
      <c r="L31" s="185"/>
      <c r="P31" s="1"/>
      <c r="Q31" s="1"/>
      <c r="R31" s="351"/>
      <c r="S31" s="351"/>
      <c r="T31" s="351"/>
    </row>
    <row r="32" spans="2:20" s="2" customFormat="1" ht="15" customHeight="1" x14ac:dyDescent="0.15">
      <c r="B32" s="185" t="str">
        <f t="shared" si="2"/>
        <v/>
      </c>
      <c r="C32" s="744" t="str" cm="1">
        <f t="array" ref="C32">+_xlfn.IFS(OR(C31=省エネ料金表データ!X4,C31=省エネ料金表データ!Y4,C31=""),"",C31=省エネ料金表データ!Z4,省エネ料金表データ!AC4,C31=省エネ料金表データ!AA4,省エネ料金表データ!AD4)</f>
        <v/>
      </c>
      <c r="D32" s="744"/>
      <c r="E32" s="188"/>
      <c r="F32" s="226"/>
      <c r="G32" s="226"/>
      <c r="H32" s="260" t="str">
        <f>+IF(C32="","",$K$15)</f>
        <v/>
      </c>
      <c r="I32" s="174" t="str">
        <f>IF(C32="","","戸")</f>
        <v/>
      </c>
      <c r="J32" s="175" t="str">
        <f>IFERROR(INDEX(省エネ料金表データ!$X$5:$AH$6,MATCH($C$30,省エネ料金表データ!$W$5:$W$6,0),MATCH($C32,省エネ料金表データ!$X$4:$AH$4,0)),"")</f>
        <v/>
      </c>
      <c r="K32" s="176" t="str">
        <f>IFERROR(+J32*H32,"")</f>
        <v/>
      </c>
      <c r="L32" s="185" t="str">
        <f t="shared" ref="L32:L34" si="3">IF($C32="","","-")</f>
        <v/>
      </c>
      <c r="P32" s="1"/>
      <c r="Q32" s="1"/>
      <c r="R32" s="351"/>
      <c r="S32" s="351"/>
      <c r="T32" s="351"/>
    </row>
    <row r="33" spans="2:23" s="2" customFormat="1" ht="15" customHeight="1" x14ac:dyDescent="0.15">
      <c r="B33" s="335" t="s">
        <v>738</v>
      </c>
      <c r="C33" s="743" t="s">
        <v>789</v>
      </c>
      <c r="D33" s="769"/>
      <c r="E33" s="769"/>
      <c r="F33" s="769"/>
      <c r="G33" s="770"/>
      <c r="H33" s="4"/>
      <c r="I33" s="4"/>
      <c r="J33" s="156"/>
      <c r="K33" s="24"/>
    </row>
    <row r="34" spans="2:23" s="2" customFormat="1" ht="15" customHeight="1" x14ac:dyDescent="0.15">
      <c r="B34" s="185" t="str">
        <f t="shared" ref="B34" si="4">IF($C34="","","・")</f>
        <v/>
      </c>
      <c r="C34" s="771" t="str" cm="1">
        <f t="array" ref="C34">+_xlfn.IFS(OR(基本入力データシート!AC4="×",K15=""),"",AND(基本入力データシート!AC4="〇",K15&lt;50),省エネ料金表データ!AF4,AND(基本入力データシート!AC4="〇",K15&lt;100),省エネ料金表データ!AG4,AND(基本入力データシート!AC4="〇",K15&gt;=100),省エネ料金表データ!AH4)</f>
        <v/>
      </c>
      <c r="D34" s="772"/>
      <c r="E34" s="226"/>
      <c r="F34" s="226"/>
      <c r="G34" s="226"/>
      <c r="H34" s="174" t="str">
        <f>IF($C34="","",1)</f>
        <v/>
      </c>
      <c r="I34" s="174" t="str">
        <f>IF($C34="","","式")</f>
        <v/>
      </c>
      <c r="J34" s="175" t="str">
        <f>IFERROR(INDEX(省エネ料金表データ!$X$5:$AH$6,MATCH($C$30,省エネ料金表データ!$W$5:$W$6,0),MATCH($C34,省エネ料金表データ!$X$4:$AH$4,0)),"")</f>
        <v/>
      </c>
      <c r="K34" s="176" t="str">
        <f>IFERROR(+J34*H34,"")</f>
        <v/>
      </c>
      <c r="L34" s="185" t="str">
        <f t="shared" si="3"/>
        <v/>
      </c>
    </row>
    <row r="35" spans="2:23" s="2" customFormat="1" ht="15" customHeight="1" x14ac:dyDescent="0.15">
      <c r="B35" s="335" t="s">
        <v>738</v>
      </c>
      <c r="C35" s="743" t="s">
        <v>800</v>
      </c>
      <c r="D35" s="754"/>
      <c r="E35" s="461"/>
      <c r="F35" s="461"/>
      <c r="G35" s="462"/>
      <c r="H35" s="4"/>
      <c r="I35" s="4"/>
      <c r="J35" s="156"/>
      <c r="K35" s="24"/>
      <c r="L35" s="186"/>
      <c r="P35" s="1"/>
      <c r="Q35" s="1"/>
      <c r="R35" s="344"/>
      <c r="S35" s="344"/>
      <c r="T35" s="344"/>
    </row>
    <row r="36" spans="2:23" s="2" customFormat="1" ht="15" customHeight="1" x14ac:dyDescent="0.15">
      <c r="B36" s="185" t="str">
        <f>IF($C36="","","・")</f>
        <v/>
      </c>
      <c r="C36" s="773"/>
      <c r="D36" s="774"/>
      <c r="E36" s="774"/>
      <c r="F36" s="774"/>
      <c r="G36" s="775"/>
      <c r="H36" s="174" t="str">
        <f>IF($C36="","",1)</f>
        <v/>
      </c>
      <c r="I36" s="174" t="str">
        <f>IF($C36="","","式")</f>
        <v/>
      </c>
      <c r="J36" s="175" t="str">
        <f>IF(C36="","",SUM(K20:K34)*0.2)</f>
        <v/>
      </c>
      <c r="K36" s="176" t="str">
        <f>IFERROR(+J36*H36,"")</f>
        <v/>
      </c>
      <c r="L36" s="185" t="str">
        <f>IF($C36="","","-")</f>
        <v/>
      </c>
    </row>
    <row r="37" spans="2:23" s="2" customFormat="1" ht="15" customHeight="1" x14ac:dyDescent="0.15">
      <c r="B37" s="186"/>
      <c r="C37" s="12"/>
      <c r="D37" s="12"/>
      <c r="E37" s="31"/>
      <c r="F37" s="31"/>
      <c r="G37" s="31"/>
      <c r="H37" s="4"/>
      <c r="I37" s="4"/>
      <c r="J37" s="156"/>
      <c r="K37" s="24"/>
      <c r="L37" s="186"/>
    </row>
    <row r="38" spans="2:23" s="2" customFormat="1" ht="15" customHeight="1" x14ac:dyDescent="0.15">
      <c r="B38" s="336"/>
      <c r="C38" s="336"/>
      <c r="D38" s="336"/>
      <c r="E38" s="336"/>
      <c r="F38" s="336"/>
      <c r="G38" s="336"/>
      <c r="H38" s="766" t="s">
        <v>21</v>
      </c>
      <c r="I38" s="767"/>
      <c r="J38" s="768"/>
      <c r="K38" s="171">
        <f>SUM(K17:K37)</f>
        <v>0</v>
      </c>
      <c r="L38" s="305" t="s">
        <v>1</v>
      </c>
    </row>
    <row r="39" spans="2:23" s="2" customFormat="1" ht="15" customHeight="1" x14ac:dyDescent="0.15">
      <c r="B39" s="334"/>
      <c r="C39" s="7"/>
      <c r="D39" s="12"/>
      <c r="E39" s="31"/>
      <c r="F39" s="31"/>
      <c r="G39" s="31"/>
      <c r="H39" s="177"/>
      <c r="I39" s="177"/>
      <c r="J39" s="178"/>
      <c r="K39" s="179"/>
      <c r="L39" s="12"/>
    </row>
    <row r="40" spans="2:23" s="2" customFormat="1" ht="15" customHeight="1" x14ac:dyDescent="0.15">
      <c r="B40" s="337"/>
      <c r="C40" s="259" t="s">
        <v>37</v>
      </c>
      <c r="D40" s="20"/>
      <c r="E40" s="21"/>
      <c r="F40" s="21"/>
      <c r="G40" s="21"/>
      <c r="H40" s="25"/>
      <c r="I40" s="4"/>
      <c r="J40" s="29"/>
      <c r="K40" s="170">
        <f>K38*0.1</f>
        <v>0</v>
      </c>
      <c r="L40" s="185" t="s">
        <v>14</v>
      </c>
    </row>
    <row r="41" spans="2:23" s="2" customFormat="1" ht="15" customHeight="1" x14ac:dyDescent="0.15">
      <c r="B41" s="338"/>
      <c r="C41" s="248"/>
      <c r="D41" s="15"/>
      <c r="E41" s="249"/>
      <c r="F41" s="249"/>
      <c r="G41" s="249"/>
      <c r="H41" s="250"/>
      <c r="I41" s="250"/>
      <c r="J41" s="251"/>
      <c r="K41" s="252"/>
      <c r="L41" s="15"/>
    </row>
    <row r="42" spans="2:23" s="2" customFormat="1" ht="15" customHeight="1" thickBot="1" x14ac:dyDescent="0.2">
      <c r="C42" s="2" t="s">
        <v>91</v>
      </c>
      <c r="H42" s="758" t="s">
        <v>2</v>
      </c>
      <c r="I42" s="758"/>
      <c r="J42" s="758"/>
      <c r="K42" s="195">
        <f>SUM(K38:K41)</f>
        <v>0</v>
      </c>
      <c r="L42" s="306" t="s">
        <v>1</v>
      </c>
    </row>
    <row r="43" spans="2:23" s="2" customFormat="1" ht="15" customHeight="1" thickTop="1" x14ac:dyDescent="0.15">
      <c r="B43" s="11"/>
      <c r="C43" s="16" t="s">
        <v>783</v>
      </c>
      <c r="I43" s="8"/>
      <c r="J43" s="8"/>
      <c r="K43" s="27"/>
      <c r="L43" s="16"/>
    </row>
    <row r="44" spans="2:23" s="2" customFormat="1" ht="15" customHeight="1" x14ac:dyDescent="0.15">
      <c r="C44" s="16" t="s">
        <v>92</v>
      </c>
    </row>
    <row r="45" spans="2:23" s="2" customFormat="1" ht="15" customHeight="1" x14ac:dyDescent="0.15">
      <c r="C45" s="16" t="s">
        <v>784</v>
      </c>
    </row>
    <row r="46" spans="2:23" s="2" customFormat="1" ht="15" customHeight="1" x14ac:dyDescent="0.15">
      <c r="C46" s="16" t="s">
        <v>785</v>
      </c>
    </row>
    <row r="47" spans="2:23" s="2" customFormat="1" ht="15" customHeight="1" x14ac:dyDescent="0.15">
      <c r="C47" s="16" t="s">
        <v>786</v>
      </c>
      <c r="P47" s="1"/>
      <c r="Q47" s="1"/>
      <c r="R47" s="1"/>
      <c r="S47" s="1"/>
      <c r="T47" s="1"/>
      <c r="U47" s="1"/>
      <c r="V47" s="1"/>
    </row>
    <row r="48" spans="2:23" s="2" customFormat="1" ht="15" customHeight="1" x14ac:dyDescent="0.15">
      <c r="C48" s="16" t="s">
        <v>777</v>
      </c>
      <c r="D48" s="1"/>
      <c r="P48" s="1"/>
      <c r="Q48" s="1"/>
      <c r="R48" s="1"/>
      <c r="S48" s="1"/>
      <c r="T48" s="1"/>
      <c r="U48" s="1"/>
      <c r="V48" s="1"/>
      <c r="W48" s="1"/>
    </row>
    <row r="49" spans="3:12" ht="15" customHeight="1" x14ac:dyDescent="0.15">
      <c r="C49" s="2"/>
      <c r="K49" s="30"/>
    </row>
    <row r="50" spans="3:12" ht="16.5" customHeight="1" x14ac:dyDescent="0.15">
      <c r="L50" s="30" t="s">
        <v>32</v>
      </c>
    </row>
  </sheetData>
  <mergeCells count="17">
    <mergeCell ref="D15:G15"/>
    <mergeCell ref="H15:J15"/>
    <mergeCell ref="K16:L16"/>
    <mergeCell ref="J2:K2"/>
    <mergeCell ref="C4:F4"/>
    <mergeCell ref="D11:K11"/>
    <mergeCell ref="G13:K13"/>
    <mergeCell ref="B14:G14"/>
    <mergeCell ref="K14:L14"/>
    <mergeCell ref="H38:J38"/>
    <mergeCell ref="H42:J42"/>
    <mergeCell ref="C31:D31"/>
    <mergeCell ref="C32:D32"/>
    <mergeCell ref="C33:G33"/>
    <mergeCell ref="C34:D34"/>
    <mergeCell ref="C35:D35"/>
    <mergeCell ref="C36:G36"/>
  </mergeCells>
  <phoneticPr fontId="4"/>
  <printOptions horizontalCentered="1" verticalCentered="1"/>
  <pageMargins left="0.39370078740157483" right="0.39370078740157483" top="0.39370078740157483" bottom="0" header="0" footer="0"/>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8D0BD11B-CFB4-43B9-A23A-B6AB1DBA765F}">
          <x14:formula1>
            <xm:f>省エネ料金表データ!$U$4:$V$4</xm:f>
          </x14:formula1>
          <xm:sqref>C36:G36</xm:sqref>
        </x14:dataValidation>
        <x14:dataValidation type="list" allowBlank="1" showInputMessage="1" showErrorMessage="1" xr:uid="{7AA7AC61-36ED-4825-8E60-3C62AF744782}">
          <x14:formula1>
            <xm:f>省エネ料金表データ!$A$4:$P$4</xm:f>
          </x14:formula1>
          <xm:sqref>C23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D09AC-D007-468A-941E-195B567963EB}">
  <sheetPr>
    <tabColor rgb="FFFFC000"/>
  </sheetPr>
  <dimension ref="B1:P60"/>
  <sheetViews>
    <sheetView view="pageBreakPreview" zoomScaleNormal="100" zoomScaleSheetLayoutView="100" workbookViewId="0">
      <selection activeCell="C18" sqref="C18:D18"/>
    </sheetView>
  </sheetViews>
  <sheetFormatPr defaultColWidth="3.625" defaultRowHeight="16.5" customHeight="1" x14ac:dyDescent="0.15"/>
  <cols>
    <col min="1" max="1" width="0.625" style="1" customWidth="1"/>
    <col min="2" max="2" width="2.75" style="1" customWidth="1"/>
    <col min="3" max="3" width="19.625" style="1" customWidth="1"/>
    <col min="4" max="4" width="17.625" style="1" customWidth="1"/>
    <col min="5" max="5" width="5.25" style="1" customWidth="1"/>
    <col min="6" max="6" width="4.75" style="1" customWidth="1"/>
    <col min="7" max="7" width="7.25" style="1" customWidth="1"/>
    <col min="8" max="9" width="4.75" style="1" customWidth="1"/>
    <col min="10" max="10" width="8.75" style="1" customWidth="1"/>
    <col min="11" max="11" width="13.25" style="1" customWidth="1"/>
    <col min="12" max="12" width="2.75" style="1" customWidth="1"/>
    <col min="13" max="13" width="0.625" style="1" customWidth="1"/>
    <col min="14" max="15" width="3.625" style="1"/>
    <col min="16" max="16" width="6.375" style="1" bestFit="1" customWidth="1"/>
    <col min="17" max="16384" width="3.625" style="1"/>
  </cols>
  <sheetData>
    <row r="1" spans="2:15" ht="19.5" customHeight="1" x14ac:dyDescent="0.15">
      <c r="B1" s="204" t="s">
        <v>29</v>
      </c>
      <c r="C1" s="205"/>
      <c r="D1" s="204"/>
      <c r="E1" s="206"/>
      <c r="F1" s="206"/>
      <c r="G1" s="206"/>
      <c r="H1" s="205"/>
      <c r="I1" s="205"/>
      <c r="J1" s="205"/>
      <c r="K1" s="205"/>
      <c r="L1" s="205"/>
    </row>
    <row r="2" spans="2:15" ht="15" customHeight="1" x14ac:dyDescent="0.15">
      <c r="B2" s="160"/>
      <c r="C2" s="160"/>
      <c r="D2" s="160"/>
      <c r="E2" s="207"/>
      <c r="F2" s="207"/>
      <c r="G2" s="207"/>
      <c r="H2" s="207"/>
      <c r="I2" s="207"/>
      <c r="J2" s="733">
        <f ca="1">TODAY()</f>
        <v>45848</v>
      </c>
      <c r="K2" s="733"/>
      <c r="L2" s="207"/>
    </row>
    <row r="3" spans="2:15" ht="15" customHeight="1" x14ac:dyDescent="0.15">
      <c r="B3" s="160"/>
      <c r="C3" s="160"/>
      <c r="D3" s="160"/>
      <c r="E3" s="207"/>
      <c r="F3" s="207"/>
      <c r="G3" s="207"/>
      <c r="H3" s="207"/>
      <c r="I3" s="207"/>
      <c r="J3" s="378"/>
      <c r="K3" s="378"/>
      <c r="L3" s="207"/>
    </row>
    <row r="4" spans="2:15" ht="15" customHeight="1" x14ac:dyDescent="0.15">
      <c r="B4" s="160"/>
      <c r="C4" s="734" t="str">
        <f>+入力シート!E9&amp;"　　"&amp;入力シート!G9</f>
        <v>　　御中</v>
      </c>
      <c r="D4" s="735"/>
      <c r="E4" s="736"/>
      <c r="F4" s="736"/>
      <c r="G4" s="160"/>
      <c r="H4" s="160"/>
      <c r="I4" s="160"/>
      <c r="J4" s="160"/>
      <c r="K4" s="160"/>
      <c r="L4" s="160"/>
    </row>
    <row r="5" spans="2:15" ht="15" customHeight="1" x14ac:dyDescent="0.15">
      <c r="B5" s="160"/>
      <c r="C5" s="162"/>
      <c r="D5" s="160"/>
      <c r="E5" s="160"/>
      <c r="F5" s="160"/>
      <c r="G5" s="160"/>
      <c r="H5" s="160"/>
      <c r="I5" s="160"/>
      <c r="J5" s="160"/>
      <c r="K5" s="160"/>
      <c r="L5" s="160"/>
    </row>
    <row r="6" spans="2:15" ht="15" customHeight="1" x14ac:dyDescent="0.15">
      <c r="B6" s="160"/>
      <c r="C6" s="160"/>
      <c r="D6" s="160"/>
      <c r="E6" s="160"/>
      <c r="F6" s="160"/>
      <c r="G6" s="160"/>
      <c r="H6" s="158" t="str" cm="1">
        <f t="array" ref="H6">_xlfn.IFS(入力シート!$E$8=基本入力データシート!$D$3,基本入力データシート!$E$3,入力シート!$E$8=基本入力データシート!$D$7,基本入力データシート!$E$7,入力シート!$E$8=基本入力データシート!$D$8,基本入力データシート!$E$8,入力シート!$E$8=基本入力データシート!$D$4,基本入力データシート!$E$4,入力シート!$E$8=基本入力データシート!$D$5,基本入力データシート!$E$5,入力シート!$E$8=基本入力データシート!$D$6,基本入力データシート!$E$6)</f>
        <v>〒150-0002  東京都渋谷区渋谷1-13-9</v>
      </c>
      <c r="I6" s="159"/>
      <c r="J6" s="160"/>
      <c r="K6" s="160"/>
      <c r="L6" s="160"/>
    </row>
    <row r="7" spans="2:15" ht="15" customHeight="1" x14ac:dyDescent="0.15">
      <c r="B7" s="160"/>
      <c r="C7" s="160"/>
      <c r="D7" s="160"/>
      <c r="E7" s="160"/>
      <c r="F7" s="160"/>
      <c r="G7" s="160"/>
      <c r="H7" s="158" t="str" cm="1">
        <f t="array" ref="H7">_xlfn.IFS(入力シート!$E$8=基本入力データシート!$D$3,基本入力データシート!$F$3,入力シート!$E$8=基本入力データシート!$D$7,基本入力データシート!$F$7,入力シート!$E$8=基本入力データシート!$D$8,基本入力データシート!$F$8,入力シート!$E$8=基本入力データシート!$D$4,基本入力データシート!$F$4,入力シート!$E$8=基本入力データシート!$D$5,基本入力データシート!$F$5,入力シート!$E$8=基本入力データシート!$D$6,基本入力データシート!$F$6)</f>
        <v>株式会社 J 建築検査センター</v>
      </c>
      <c r="I7" s="161"/>
      <c r="J7" s="160"/>
      <c r="K7" s="160"/>
      <c r="L7" s="208"/>
      <c r="M7" s="5"/>
    </row>
    <row r="8" spans="2:15" ht="15" customHeight="1" x14ac:dyDescent="0.15">
      <c r="B8" s="160"/>
      <c r="C8" s="160"/>
      <c r="D8" s="160"/>
      <c r="E8" s="160"/>
      <c r="F8" s="160"/>
      <c r="G8" s="160"/>
      <c r="H8" s="158" t="str" cm="1">
        <f t="array" ref="H8">_xlfn.IFS(入力シート!$E$8=基本入力データシート!$D$3,基本入力データシート!$G$3,入力シート!$E$8=基本入力データシート!$D$7,基本入力データシート!$G$7,入力シート!$E$8=基本入力データシート!$D$8,基本入力データシート!$G$8,入力シート!$E$8=基本入力データシート!$D$4,基本入力データシート!$G$4,入力シート!$E$8=基本入力データシート!$D$5,基本入力データシート!$G$5,入力シート!$E$8=基本入力データシート!$D$6,基本入力データシート!$G$6)</f>
        <v>TEL:03-5464-7778　FAX:03-5464-7779</v>
      </c>
      <c r="I8" s="161"/>
      <c r="J8" s="160"/>
      <c r="K8" s="160"/>
      <c r="L8" s="160"/>
    </row>
    <row r="9" spans="2:15" ht="15" customHeight="1" x14ac:dyDescent="0.15">
      <c r="B9" s="160"/>
      <c r="C9" s="209" t="s">
        <v>3</v>
      </c>
      <c r="D9" s="160"/>
      <c r="E9" s="160"/>
      <c r="F9" s="160"/>
      <c r="G9" s="160"/>
      <c r="H9" s="160"/>
      <c r="I9" s="161"/>
      <c r="J9" s="160"/>
      <c r="K9" s="160"/>
      <c r="L9" s="160"/>
    </row>
    <row r="10" spans="2:15" ht="11.25" customHeight="1" x14ac:dyDescent="0.15">
      <c r="B10" s="160"/>
      <c r="C10" s="210"/>
      <c r="D10" s="210"/>
      <c r="E10" s="210"/>
      <c r="F10" s="210"/>
      <c r="G10" s="210"/>
      <c r="H10" s="210"/>
      <c r="I10" s="210"/>
      <c r="J10" s="210"/>
      <c r="K10" s="210"/>
      <c r="L10" s="160"/>
    </row>
    <row r="11" spans="2:15" s="10" customFormat="1" ht="24" customHeight="1" x14ac:dyDescent="0.15">
      <c r="B11" s="211"/>
      <c r="C11" s="212" t="s">
        <v>7</v>
      </c>
      <c r="D11" s="737">
        <f>+入力シート!E10</f>
        <v>0</v>
      </c>
      <c r="E11" s="738"/>
      <c r="F11" s="738"/>
      <c r="G11" s="738"/>
      <c r="H11" s="738"/>
      <c r="I11" s="738"/>
      <c r="J11" s="738"/>
      <c r="K11" s="738"/>
      <c r="L11" s="211"/>
    </row>
    <row r="12" spans="2:15" s="10" customFormat="1" ht="24" customHeight="1" x14ac:dyDescent="0.15">
      <c r="B12" s="211"/>
      <c r="C12" s="213" t="s">
        <v>6</v>
      </c>
      <c r="D12" s="163">
        <f>+K44</f>
        <v>0</v>
      </c>
      <c r="E12" s="214" t="s">
        <v>14</v>
      </c>
      <c r="F12" s="214"/>
      <c r="G12" s="214"/>
      <c r="H12" s="214"/>
      <c r="I12" s="215"/>
      <c r="J12" s="215"/>
      <c r="K12" s="215"/>
      <c r="L12" s="211"/>
    </row>
    <row r="13" spans="2:15" s="2" customFormat="1" ht="15" customHeight="1" x14ac:dyDescent="0.15">
      <c r="B13" s="219"/>
      <c r="C13" s="216" t="s">
        <v>4</v>
      </c>
      <c r="D13" s="217" t="s">
        <v>8</v>
      </c>
      <c r="E13" s="218" t="s">
        <v>5</v>
      </c>
      <c r="F13" s="216"/>
      <c r="G13" s="739"/>
      <c r="H13" s="740"/>
      <c r="I13" s="740"/>
      <c r="J13" s="740"/>
      <c r="K13" s="740"/>
      <c r="L13" s="158"/>
      <c r="O13" s="10"/>
    </row>
    <row r="14" spans="2:15" s="2" customFormat="1" ht="15" customHeight="1" x14ac:dyDescent="0.15">
      <c r="B14" s="741" t="s">
        <v>9</v>
      </c>
      <c r="C14" s="741"/>
      <c r="D14" s="741"/>
      <c r="E14" s="741"/>
      <c r="F14" s="741"/>
      <c r="G14" s="741"/>
      <c r="H14" s="222" t="s">
        <v>10</v>
      </c>
      <c r="I14" s="223" t="s">
        <v>0</v>
      </c>
      <c r="J14" s="224" t="s">
        <v>11</v>
      </c>
      <c r="K14" s="742" t="s">
        <v>12</v>
      </c>
      <c r="L14" s="741"/>
      <c r="O14" s="10"/>
    </row>
    <row r="15" spans="2:15" s="2" customFormat="1" ht="15" customHeight="1" x14ac:dyDescent="0.15">
      <c r="B15" s="220"/>
      <c r="C15" s="164" t="s">
        <v>28</v>
      </c>
      <c r="D15" s="746" t="str">
        <f>+入力シート!$E$12&amp;入力シート!$F$12&amp;入力シート!$G$12</f>
        <v>東京都</v>
      </c>
      <c r="E15" s="738"/>
      <c r="F15" s="738"/>
      <c r="G15" s="738"/>
      <c r="H15" s="747" t="str">
        <f>+入力シート!E16</f>
        <v>一戸建ての住宅</v>
      </c>
      <c r="I15" s="748"/>
      <c r="J15" s="748"/>
      <c r="K15" s="166" t="str">
        <f>IF(入力シート!F16="","",入力シート!F16)</f>
        <v/>
      </c>
      <c r="L15" s="187" t="str">
        <f>IF(K15="","","戸")</f>
        <v/>
      </c>
      <c r="O15" s="10"/>
    </row>
    <row r="16" spans="2:15" s="2" customFormat="1" ht="15" customHeight="1" x14ac:dyDescent="0.15">
      <c r="B16" s="221"/>
      <c r="C16" s="165" t="s">
        <v>27</v>
      </c>
      <c r="D16" s="167" t="str">
        <f>+入力シート!E14</f>
        <v>木造</v>
      </c>
      <c r="E16" s="189" t="s">
        <v>46</v>
      </c>
      <c r="F16" s="168">
        <f>+入力シート!G14</f>
        <v>2</v>
      </c>
      <c r="G16" s="190" t="s">
        <v>17</v>
      </c>
      <c r="H16" s="187" t="str">
        <f>IF(入力シート!H14="","-",入力シート!H14)</f>
        <v>-</v>
      </c>
      <c r="I16" s="191" t="s">
        <v>31</v>
      </c>
      <c r="J16" s="192" t="s">
        <v>30</v>
      </c>
      <c r="K16" s="749" t="str">
        <f>+入力シート!F14</f>
        <v>0-100㎡以内(3号)</v>
      </c>
      <c r="L16" s="750"/>
      <c r="O16" s="10"/>
    </row>
    <row r="17" spans="2:16" s="2" customFormat="1" ht="15" customHeight="1" x14ac:dyDescent="0.15">
      <c r="B17" s="333" t="s">
        <v>39</v>
      </c>
      <c r="C17" s="375" t="s">
        <v>625</v>
      </c>
      <c r="D17" s="188"/>
      <c r="E17" s="31"/>
      <c r="F17" s="31"/>
      <c r="G17" s="13"/>
      <c r="H17" s="4"/>
      <c r="I17" s="4"/>
      <c r="J17" s="28"/>
      <c r="K17" s="24"/>
      <c r="L17" s="12"/>
      <c r="O17" s="500" t="s">
        <v>960</v>
      </c>
    </row>
    <row r="18" spans="2:16" s="2" customFormat="1" ht="15" customHeight="1" x14ac:dyDescent="0.15">
      <c r="B18" s="353" t="s">
        <v>13</v>
      </c>
      <c r="C18" s="192" t="s">
        <v>613</v>
      </c>
      <c r="D18" s="303"/>
      <c r="E18" s="31"/>
      <c r="F18" s="31"/>
      <c r="G18" s="31"/>
      <c r="H18" s="4"/>
      <c r="I18" s="4"/>
      <c r="J18" s="28"/>
      <c r="K18" s="24"/>
      <c r="L18" s="12"/>
    </row>
    <row r="19" spans="2:16" s="2" customFormat="1" ht="15" customHeight="1" x14ac:dyDescent="0.15">
      <c r="B19" s="185" t="e">
        <f t="shared" ref="B19:B20" si="0">IF($C19="","","・")</f>
        <v>#N/A</v>
      </c>
      <c r="C19" s="743" t="e" cm="1">
        <f t="array" ref="C19">+_xlfn.IFS(AND(H15&lt;&gt;"一戸建ての住宅",H15&lt;&gt;"共同住宅",H15&lt;&gt;"長屋",H15&lt;&gt;"寄宿舎",H15&lt;&gt;"下宿"),"",AND(H15="一戸建ての住宅",基本入力データシート!$AC$7="〇",基本入力データシート!S12="単独"),'住宅性能評価、長期使用'!A5,AND(H15="一戸建ての住宅",基本入力データシート!$AC$7="〇",基本入力データシート!S12="併用"),'住宅性能評価、長期使用'!A6,AND(H15="一戸建ての住宅",基本入力データシート!$AC$7="×",基本入力データシート!S12="単独"),'住宅性能評価、長期使用'!A7,AND(H15="一戸建ての住宅",基本入力データシート!$AC$7="×",基本入力データシート!S12="併用"),'住宅性能評価、長期使用'!A8,AND(K15&gt;1,K15&lt;6),'住宅性能評価、長期使用'!A10,AND(K15&gt;5,K15&lt;=19),'住宅性能評価、長期使用'!A11,K15&lt;30,'住宅性能評価、長期使用'!A9,K15&gt;=30,"")</f>
        <v>#N/A</v>
      </c>
      <c r="D19" s="744"/>
      <c r="E19" s="776"/>
      <c r="F19" s="776"/>
      <c r="G19" s="777"/>
      <c r="H19" s="174" t="e">
        <f>IF($C19="","",1)</f>
        <v>#N/A</v>
      </c>
      <c r="I19" s="174" t="e">
        <f>IF($C19="","","式")</f>
        <v>#N/A</v>
      </c>
      <c r="J19" s="175" t="str">
        <f>IFERROR(_xlfn.XLOOKUP(C19,'住宅性能評価、長期使用'!$A$5:$A$11,'住宅性能評価、長期使用'!$B$5:$B$11),"")</f>
        <v/>
      </c>
      <c r="K19" s="176" t="str">
        <f>IFERROR(+J19*H19,"")</f>
        <v/>
      </c>
      <c r="L19" s="185" t="e">
        <f>IF($C19="","","-")</f>
        <v>#N/A</v>
      </c>
      <c r="N19" s="2" t="s">
        <v>182</v>
      </c>
      <c r="O19" s="270" t="s">
        <v>1068</v>
      </c>
    </row>
    <row r="20" spans="2:16" s="2" customFormat="1" ht="15" customHeight="1" x14ac:dyDescent="0.15">
      <c r="B20" s="185" t="e">
        <f t="shared" si="0"/>
        <v>#N/A</v>
      </c>
      <c r="C20" s="743" t="e" cm="1">
        <f t="array" ref="C20">+_xlfn.IFS(OR(C19='住宅性能評価、長期使用'!A5,C19='住宅性能評価、長期使用'!A6,C19='住宅性能評価、長期使用'!A7,C19='住宅性能評価、長期使用'!A8,C19='住宅性能評価、長期使用'!A9),"",C19='住宅性能評価、長期使用'!A10,'住宅性能評価、長期使用'!A14,C19='住宅性能評価、長期使用'!A11,'住宅性能評価、長期使用'!A15,K15="","",K15&gt;=30,'住宅性能評価、長期使用'!A13,K15&lt;=29,"")</f>
        <v>#N/A</v>
      </c>
      <c r="D20" s="744"/>
      <c r="E20" s="776"/>
      <c r="F20" s="776"/>
      <c r="G20" s="777"/>
      <c r="H20" s="174" t="e" cm="1">
        <f t="array" ref="H20">_xlfn.IFS(C20="","",$K$15&lt;&gt;"",$K$15,$K$15="",1)</f>
        <v>#N/A</v>
      </c>
      <c r="I20" s="174" t="e">
        <f>IF($C20="","","戸")</f>
        <v>#N/A</v>
      </c>
      <c r="J20" s="175" t="str">
        <f>IFERROR(_xlfn.XLOOKUP(C20,'住宅性能評価、長期使用'!$A$13:$A$15,'住宅性能評価、長期使用'!$B$13:$B$15),"")</f>
        <v/>
      </c>
      <c r="K20" s="176" t="str">
        <f>IFERROR(+J20*H20,"")</f>
        <v/>
      </c>
      <c r="L20" s="185" t="e">
        <f>IF($C20="","","-")</f>
        <v>#N/A</v>
      </c>
      <c r="O20" s="270"/>
      <c r="P20" s="270"/>
    </row>
    <row r="21" spans="2:16" s="2" customFormat="1" ht="15" customHeight="1" x14ac:dyDescent="0.15">
      <c r="B21" s="353" t="s">
        <v>738</v>
      </c>
      <c r="C21" s="188" t="s">
        <v>768</v>
      </c>
      <c r="D21" s="12"/>
      <c r="E21" s="31"/>
      <c r="F21" s="31"/>
      <c r="G21" s="31"/>
      <c r="H21" s="4"/>
      <c r="I21" s="4"/>
      <c r="J21" s="156"/>
      <c r="K21" s="24"/>
      <c r="L21" s="186"/>
      <c r="O21" s="270"/>
      <c r="P21" s="270"/>
    </row>
    <row r="22" spans="2:16" s="2" customFormat="1" ht="15" customHeight="1" x14ac:dyDescent="0.15">
      <c r="B22" s="185" t="str">
        <f t="shared" ref="B22" si="1">IF($C22="","","・")</f>
        <v/>
      </c>
      <c r="C22" s="743" t="str">
        <f>IF(基本入力データシート!M13=TRUE,'住宅性能評価、長期使用'!E5,"")</f>
        <v/>
      </c>
      <c r="D22" s="744"/>
      <c r="E22" s="776"/>
      <c r="F22" s="776"/>
      <c r="G22" s="777"/>
      <c r="H22" s="260" t="str" cm="1">
        <f t="array" ref="H22">+_xlfn.IFS(C22="","",OR(C22='住宅性能評価、長期使用'!$E$11,$K$15=""),1,C22&lt;&gt;"設計住宅性能評価と長期使用構造等確認の併願　30戸未満(一律)「単位:棟」",$K$15)</f>
        <v/>
      </c>
      <c r="I22" s="174" t="str" cm="1">
        <f t="array" ref="I22">_xlfn.IFS(H22="","",H22=1,"式",H22&gt;=2,"戸")</f>
        <v/>
      </c>
      <c r="J22" s="175" t="str">
        <f>IFERROR(_xlfn.XLOOKUP(C22,'住宅性能評価、長期使用'!$E$5:$E$12,'住宅性能評価、長期使用'!$F$5:$F$12),"")</f>
        <v/>
      </c>
      <c r="K22" s="176" t="str">
        <f>IFERROR(+J22*H22,"")</f>
        <v/>
      </c>
      <c r="L22" s="185" t="str">
        <f>IF($C22="","","-")</f>
        <v/>
      </c>
      <c r="O22" s="270"/>
      <c r="P22" s="270"/>
    </row>
    <row r="23" spans="2:16" s="2" customFormat="1" ht="15" customHeight="1" x14ac:dyDescent="0.15">
      <c r="B23" s="185" t="str">
        <f>IF($C23="","","・")</f>
        <v/>
      </c>
      <c r="C23" s="743" t="str">
        <f>IF(基本入力データシート!M15=TRUE,'住宅性能評価、長期使用'!E6,"")</f>
        <v/>
      </c>
      <c r="D23" s="743"/>
      <c r="E23" s="743"/>
      <c r="F23" s="743"/>
      <c r="G23" s="756"/>
      <c r="H23" s="260" t="str" cm="1">
        <f t="array" ref="H23">+_xlfn.IFS(C23="","",OR(C23='住宅性能評価、長期使用'!$E$11,$K$15=""),1,C23&lt;&gt;"設計住宅性能評価と長期使用構造等確認の併願　30戸未満(一律)「単位:棟」",$K$15)</f>
        <v/>
      </c>
      <c r="I23" s="174" t="str" cm="1">
        <f t="array" ref="I23">_xlfn.IFS(H23="","",H23=1,"式",H23&gt;=2,"戸")</f>
        <v/>
      </c>
      <c r="J23" s="175" t="str">
        <f>IFERROR(_xlfn.XLOOKUP(C23,'住宅性能評価、長期使用'!$E$5:$E$12,'住宅性能評価、長期使用'!$F$5:$F$12),"")</f>
        <v/>
      </c>
      <c r="K23" s="176" t="str">
        <f t="shared" ref="K23:K27" si="2">IFERROR(+J23*H23,"")</f>
        <v/>
      </c>
      <c r="L23" s="185" t="str">
        <f>IF($C23="","","-")</f>
        <v/>
      </c>
      <c r="O23" s="270"/>
      <c r="P23" s="270"/>
    </row>
    <row r="24" spans="2:16" s="2" customFormat="1" ht="15" customHeight="1" x14ac:dyDescent="0.15">
      <c r="B24" s="185" t="str">
        <f>IF($C24="","","・")</f>
        <v/>
      </c>
      <c r="C24" s="743" t="str">
        <f>IF(OR(基本入力データシート!M16=TRUE,基本入力データシート!M17=TRUE),'住宅性能評価、長期使用'!E7,"")</f>
        <v/>
      </c>
      <c r="D24" s="743"/>
      <c r="E24" s="743"/>
      <c r="F24" s="743"/>
      <c r="G24" s="756"/>
      <c r="H24" s="260" t="str" cm="1">
        <f t="array" ref="H24">+_xlfn.IFS(C24="","",OR(C24='住宅性能評価、長期使用'!$E$11,$K$15=""),1,C24&lt;&gt;"設計住宅性能評価と長期使用構造等確認の併願　30戸未満(一律)「単位:棟」",$K$15)</f>
        <v/>
      </c>
      <c r="I24" s="174" t="str" cm="1">
        <f t="array" ref="I24">_xlfn.IFS(H24="","",H24=1,"式",H24&gt;=2,"戸")</f>
        <v/>
      </c>
      <c r="J24" s="175" t="str">
        <f>IFERROR(_xlfn.XLOOKUP(C24,'住宅性能評価、長期使用'!$E$5:$E$12,'住宅性能評価、長期使用'!$F$5:$F$12),"")</f>
        <v/>
      </c>
      <c r="K24" s="176" t="str">
        <f t="shared" si="2"/>
        <v/>
      </c>
      <c r="L24" s="185" t="str">
        <f>IF($C24="","","-")</f>
        <v/>
      </c>
      <c r="O24" s="270"/>
      <c r="P24" s="270"/>
    </row>
    <row r="25" spans="2:16" s="2" customFormat="1" ht="15" customHeight="1" x14ac:dyDescent="0.15">
      <c r="B25" s="185" t="str">
        <f t="shared" ref="B25:B27" si="3">IF($C25="","","・")</f>
        <v/>
      </c>
      <c r="C25" s="487" t="str">
        <f>+IF(基本入力データシート!$M$46=0,"",'住宅性能評価、長期使用'!$E$8)</f>
        <v/>
      </c>
      <c r="D25" s="682"/>
      <c r="E25" s="192" t="str">
        <f>+IF(C25="","",基本入力データシート!$M$46)</f>
        <v/>
      </c>
      <c r="F25" s="192" t="str">
        <f>IF(C25="","","項目")</f>
        <v/>
      </c>
      <c r="G25" s="650"/>
      <c r="H25" s="260" t="str" cm="1">
        <f t="array" ref="H25">+_xlfn.IFS(C25="","",OR(C25='住宅性能評価、長期使用'!$E$11,$K$15=""),1,C25&lt;&gt;"設計住宅性能評価と長期使用構造等確認の併願　30戸未満(一律)「単位:棟」",$K$15)</f>
        <v/>
      </c>
      <c r="I25" s="174" t="str" cm="1">
        <f t="array" ref="I25">_xlfn.IFS(H25="","",H25=1,"式",H25&gt;=2,"戸")</f>
        <v/>
      </c>
      <c r="J25" s="175" t="str">
        <f>IF(I25="","",500*E25)</f>
        <v/>
      </c>
      <c r="K25" s="176" t="str">
        <f t="shared" si="2"/>
        <v/>
      </c>
      <c r="L25" s="185" t="str">
        <f t="shared" ref="L25:L27" si="4">IF($C25="","","-")</f>
        <v/>
      </c>
      <c r="O25" s="270"/>
      <c r="P25" s="270"/>
    </row>
    <row r="26" spans="2:16" s="2" customFormat="1" ht="15" customHeight="1" x14ac:dyDescent="0.15">
      <c r="B26" s="185" t="str">
        <f t="shared" si="3"/>
        <v/>
      </c>
      <c r="C26" s="743" t="str">
        <f>IF(基本入力データシート!M47=TRUE,'住宅性能評価、長期使用'!E9,"")</f>
        <v/>
      </c>
      <c r="D26" s="743"/>
      <c r="E26" s="743"/>
      <c r="F26" s="743"/>
      <c r="G26" s="756"/>
      <c r="H26" s="260" t="str" cm="1">
        <f t="array" ref="H26">+_xlfn.IFS(C26="","",OR(C26='住宅性能評価、長期使用'!$E$11,$K$15=""),1,C26&lt;&gt;"設計住宅性能評価と長期使用構造等確認の併願　30戸未満(一律)「単位:棟」",$K$15)</f>
        <v/>
      </c>
      <c r="I26" s="174" t="str" cm="1">
        <f t="array" ref="I26">_xlfn.IFS(H26="","",H26=1,"式",H26&gt;=2,"戸")</f>
        <v/>
      </c>
      <c r="J26" s="175" t="str">
        <f>IFERROR(_xlfn.XLOOKUP(C26,'住宅性能評価、長期使用'!$E$5:$E$12,'住宅性能評価、長期使用'!$F$5:$F$12),"")</f>
        <v/>
      </c>
      <c r="K26" s="176" t="str">
        <f t="shared" ref="K26" si="5">IFERROR(+J26*H26,"")</f>
        <v/>
      </c>
      <c r="L26" s="185" t="str">
        <f t="shared" si="4"/>
        <v/>
      </c>
      <c r="O26" s="270"/>
      <c r="P26" s="270"/>
    </row>
    <row r="27" spans="2:16" s="2" customFormat="1" ht="15" customHeight="1" x14ac:dyDescent="0.15">
      <c r="B27" s="185" t="str">
        <f t="shared" si="3"/>
        <v/>
      </c>
      <c r="C27" s="743" t="str" cm="1">
        <f t="array" ref="C27">+_xlfn.IFS(基本入力データシート!M48=FALSE,"",AND(基本入力データシート!M48=TRUE,「住宅性能評価」自動計算見積書!K15=""),'住宅性能評価、長期使用'!E10,AND(基本入力データシート!M48=TRUE,K15&lt;30),'住宅性能評価、長期使用'!E11,AND(基本入力データシート!M48=TRUE,K15&gt;=30),'住宅性能評価、長期使用'!E12)</f>
        <v/>
      </c>
      <c r="D27" s="744"/>
      <c r="E27" s="776"/>
      <c r="F27" s="776"/>
      <c r="G27" s="777"/>
      <c r="H27" s="260" t="str" cm="1">
        <f t="array" ref="H27">+_xlfn.IFS(C27="","",OR(C27='住宅性能評価、長期使用'!$E$11,$K$15=""),1,C27&lt;&gt;"設計住宅性能評価と長期使用構造等確認の併願　30戸未満(一律)「単位:棟」",$K$15)</f>
        <v/>
      </c>
      <c r="I27" s="174" t="str" cm="1">
        <f t="array" ref="I27">_xlfn.IFS(H27="","",H27=1,"式",H27&gt;=2,"戸")</f>
        <v/>
      </c>
      <c r="J27" s="175" t="str">
        <f>IFERROR(_xlfn.XLOOKUP(C27,'住宅性能評価、長期使用'!$E$5:$E$12,'住宅性能評価、長期使用'!$F$5:$F$12),"")</f>
        <v/>
      </c>
      <c r="K27" s="176" t="str">
        <f t="shared" si="2"/>
        <v/>
      </c>
      <c r="L27" s="185" t="str">
        <f t="shared" si="4"/>
        <v/>
      </c>
      <c r="O27" s="270"/>
      <c r="P27" s="270"/>
    </row>
    <row r="28" spans="2:16" s="2" customFormat="1" ht="15" customHeight="1" x14ac:dyDescent="0.15">
      <c r="B28" s="353" t="s">
        <v>738</v>
      </c>
      <c r="C28" s="744" t="s">
        <v>788</v>
      </c>
      <c r="D28" s="754"/>
      <c r="E28" s="754"/>
      <c r="F28" s="754"/>
      <c r="G28" s="755"/>
      <c r="H28" s="177"/>
      <c r="I28" s="177"/>
      <c r="J28" s="178"/>
      <c r="K28" s="179"/>
      <c r="L28" s="11"/>
      <c r="O28" s="270"/>
      <c r="P28" s="270"/>
    </row>
    <row r="29" spans="2:16" s="2" customFormat="1" ht="15" customHeight="1" x14ac:dyDescent="0.15">
      <c r="B29" s="185" t="str">
        <f t="shared" ref="B29" si="6">IF($C29="","","・")</f>
        <v/>
      </c>
      <c r="C29" s="757"/>
      <c r="D29" s="773"/>
      <c r="E29" s="779"/>
      <c r="F29" s="779"/>
      <c r="G29" s="780"/>
      <c r="H29" s="260" t="str" cm="1">
        <f t="array" ref="H29">+_xlfn.IFS(C29="","",$K$15&lt;&gt;"",$K$15,$K$15="",1)</f>
        <v/>
      </c>
      <c r="I29" s="174" t="str">
        <f t="shared" ref="I29" si="7">IF($C29="","","戸")</f>
        <v/>
      </c>
      <c r="J29" s="175" t="str" cm="1">
        <f t="array" ref="J29">IFERROR(_xlfn.XLOOKUP(C29,'住宅性能評価、長期使用'!$E$18:$E$18,'住宅性能評価、長期使用'!$F$18:$F$18),"")</f>
        <v/>
      </c>
      <c r="K29" s="176" t="str">
        <f t="shared" ref="K29" si="8">IFERROR(+J29*H29,"")</f>
        <v/>
      </c>
      <c r="L29" s="185" t="str">
        <f t="shared" ref="L29" si="9">IF($C29="","","-")</f>
        <v/>
      </c>
      <c r="O29" s="270"/>
      <c r="P29" s="387"/>
    </row>
    <row r="30" spans="2:16" s="2" customFormat="1" ht="15" customHeight="1" x14ac:dyDescent="0.15">
      <c r="B30" s="353" t="s">
        <v>738</v>
      </c>
      <c r="C30" s="744" t="s">
        <v>798</v>
      </c>
      <c r="D30" s="754"/>
      <c r="E30" s="754"/>
      <c r="F30" s="754"/>
      <c r="G30" s="755"/>
      <c r="H30" s="177"/>
      <c r="I30" s="177"/>
      <c r="J30" s="178"/>
      <c r="K30" s="179"/>
      <c r="L30" s="11"/>
      <c r="O30" s="270"/>
      <c r="P30" s="387"/>
    </row>
    <row r="31" spans="2:16" s="2" customFormat="1" ht="15" customHeight="1" x14ac:dyDescent="0.15">
      <c r="B31" s="185" t="str">
        <f>IF($C31="","","・")</f>
        <v/>
      </c>
      <c r="C31" s="757"/>
      <c r="D31" s="773"/>
      <c r="E31" s="779"/>
      <c r="F31" s="779"/>
      <c r="G31" s="780"/>
      <c r="H31" s="174" t="str">
        <f>IF($C31="","",1)</f>
        <v/>
      </c>
      <c r="I31" s="174" t="str">
        <f>IF($C31="","","式")</f>
        <v/>
      </c>
      <c r="J31" s="175" t="str">
        <f>IFERROR(_xlfn.XLOOKUP(C31,'住宅性能評価、長期使用'!$E$14:$E$16,'住宅性能評価、長期使用'!$F$14:$F$16),"")</f>
        <v/>
      </c>
      <c r="K31" s="176" t="str">
        <f>IFERROR(+J31*H31,"")</f>
        <v/>
      </c>
      <c r="L31" s="185" t="str">
        <f>IF($C31="","","-")</f>
        <v/>
      </c>
      <c r="O31" s="270"/>
      <c r="P31" s="270"/>
    </row>
    <row r="32" spans="2:16" s="2" customFormat="1" ht="15" customHeight="1" x14ac:dyDescent="0.15">
      <c r="B32" s="352"/>
      <c r="C32" s="12"/>
      <c r="D32" s="12"/>
      <c r="E32" s="31"/>
      <c r="F32" s="31"/>
      <c r="G32" s="31"/>
      <c r="H32" s="177"/>
      <c r="I32" s="177"/>
      <c r="J32" s="178"/>
      <c r="K32" s="179"/>
      <c r="L32" s="11"/>
      <c r="O32" s="270"/>
      <c r="P32" s="270"/>
    </row>
    <row r="33" spans="2:16" s="2" customFormat="1" ht="15" customHeight="1" x14ac:dyDescent="0.15">
      <c r="B33" s="353" t="s">
        <v>13</v>
      </c>
      <c r="C33" s="188" t="s">
        <v>633</v>
      </c>
      <c r="D33" s="12"/>
      <c r="E33" s="31"/>
      <c r="F33" s="31"/>
      <c r="G33" s="31"/>
      <c r="H33" s="177"/>
      <c r="I33" s="177"/>
      <c r="J33" s="178"/>
      <c r="K33" s="179"/>
      <c r="L33" s="186"/>
      <c r="O33" s="270"/>
      <c r="P33" s="270"/>
    </row>
    <row r="34" spans="2:16" s="2" customFormat="1" ht="15" customHeight="1" x14ac:dyDescent="0.15">
      <c r="B34" s="185" t="str">
        <f t="shared" ref="B34:B36" si="10">IF($C34="","","・")</f>
        <v/>
      </c>
      <c r="C34" s="743" t="str">
        <f>+IF(基本入力データシート!M49=TRUE,C19,"")</f>
        <v/>
      </c>
      <c r="D34" s="744"/>
      <c r="E34" s="776"/>
      <c r="F34" s="776"/>
      <c r="G34" s="777"/>
      <c r="H34" s="174" t="str">
        <f>IF($C34="","",1)</f>
        <v/>
      </c>
      <c r="I34" s="174" t="str">
        <f>IF($C34="","","式")</f>
        <v/>
      </c>
      <c r="J34" s="175" t="str">
        <f>IFERROR(_xlfn.XLOOKUP(C34,'住宅性能評価、長期使用'!$C$5:$C$9,'住宅性能評価、長期使用'!$D$5:$D$9),"")</f>
        <v/>
      </c>
      <c r="K34" s="176" t="str">
        <f t="shared" ref="K34:K36" si="11">IFERROR(+J34*H34,"")</f>
        <v/>
      </c>
      <c r="L34" s="185" t="str">
        <f t="shared" ref="L34:L36" si="12">IF($C34="","","-")</f>
        <v/>
      </c>
      <c r="O34" s="270"/>
      <c r="P34" s="270"/>
    </row>
    <row r="35" spans="2:16" s="2" customFormat="1" ht="15" customHeight="1" x14ac:dyDescent="0.15">
      <c r="B35" s="185" t="str">
        <f t="shared" si="10"/>
        <v/>
      </c>
      <c r="C35" s="743" t="str">
        <f>+IF(基本入力データシート!M49=TRUE,C20,"")</f>
        <v/>
      </c>
      <c r="D35" s="743"/>
      <c r="E35" s="743"/>
      <c r="F35" s="743"/>
      <c r="G35" s="756"/>
      <c r="H35" s="260" t="str" cm="1">
        <f t="array" ref="H35">+_xlfn.IFS(C35="","",$K$15&lt;&gt;"",$K$15,$K$15="",1)</f>
        <v/>
      </c>
      <c r="I35" s="174" t="str">
        <f t="shared" ref="I35:I36" si="13">IF($C35="","","戸")</f>
        <v/>
      </c>
      <c r="J35" s="175" t="str">
        <f>IFERROR(_xlfn.XLOOKUP(C35,'住宅性能評価、長期使用'!$C$11:$C$13,'住宅性能評価、長期使用'!$D$11:$D$13),"")</f>
        <v/>
      </c>
      <c r="K35" s="176" t="str">
        <f t="shared" si="11"/>
        <v/>
      </c>
      <c r="L35" s="185" t="str">
        <f t="shared" si="12"/>
        <v/>
      </c>
      <c r="O35" s="270"/>
      <c r="P35" s="270"/>
    </row>
    <row r="36" spans="2:16" s="2" customFormat="1" ht="15" customHeight="1" x14ac:dyDescent="0.15">
      <c r="B36" s="185" t="str">
        <f t="shared" si="10"/>
        <v/>
      </c>
      <c r="C36" s="743" t="str">
        <f>IF(基本入力データシート!M50=TRUE,'住宅性能評価、長期使用'!E22,"")</f>
        <v/>
      </c>
      <c r="D36" s="743"/>
      <c r="E36" s="743"/>
      <c r="F36" s="743"/>
      <c r="G36" s="756"/>
      <c r="H36" s="260" t="str" cm="1">
        <f t="array" ref="H36">+_xlfn.IFS(C36="","",$K$15&lt;&gt;"",$K$15,$K$15="",1)</f>
        <v/>
      </c>
      <c r="I36" s="174" t="str">
        <f t="shared" si="13"/>
        <v/>
      </c>
      <c r="J36" s="175" t="str">
        <f>IFERROR(_xlfn.XLOOKUP(C36,'住宅性能評価、長期使用'!E22,'住宅性能評価、長期使用'!F22),"")</f>
        <v/>
      </c>
      <c r="K36" s="176" t="str">
        <f t="shared" si="11"/>
        <v/>
      </c>
      <c r="L36" s="185" t="str">
        <f t="shared" si="12"/>
        <v/>
      </c>
      <c r="O36" s="270"/>
      <c r="P36" s="270"/>
    </row>
    <row r="37" spans="2:16" s="2" customFormat="1" ht="15" customHeight="1" x14ac:dyDescent="0.15">
      <c r="B37" s="352"/>
      <c r="C37" s="303"/>
      <c r="D37" s="303"/>
      <c r="E37" s="31"/>
      <c r="F37" s="31"/>
      <c r="G37" s="31"/>
      <c r="H37" s="177"/>
      <c r="I37" s="177"/>
      <c r="J37" s="178"/>
      <c r="K37" s="179"/>
      <c r="L37" s="186"/>
      <c r="O37" s="270"/>
    </row>
    <row r="38" spans="2:16" s="2" customFormat="1" ht="15" customHeight="1" x14ac:dyDescent="0.15">
      <c r="B38" s="352"/>
      <c r="C38" s="259" t="s">
        <v>37</v>
      </c>
      <c r="D38" s="20"/>
      <c r="E38" s="21"/>
      <c r="F38" s="21"/>
      <c r="G38" s="21"/>
      <c r="H38" s="25"/>
      <c r="I38" s="4"/>
      <c r="J38" s="29"/>
      <c r="K38" s="170">
        <f>SUM(K17:K37)*0.1</f>
        <v>0</v>
      </c>
      <c r="L38" s="185" t="s">
        <v>14</v>
      </c>
      <c r="O38" s="270"/>
    </row>
    <row r="39" spans="2:16" s="2" customFormat="1" ht="15" customHeight="1" x14ac:dyDescent="0.15">
      <c r="B39" s="352"/>
      <c r="C39" s="303"/>
      <c r="D39" s="303"/>
      <c r="E39" s="31"/>
      <c r="F39" s="31"/>
      <c r="G39" s="31"/>
      <c r="H39" s="177"/>
      <c r="I39" s="177"/>
      <c r="J39" s="178"/>
      <c r="K39" s="179"/>
      <c r="L39" s="186"/>
    </row>
    <row r="40" spans="2:16" s="2" customFormat="1" ht="15" customHeight="1" x14ac:dyDescent="0.15">
      <c r="B40" s="336"/>
      <c r="C40" s="336"/>
      <c r="D40" s="336"/>
      <c r="E40" s="336"/>
      <c r="F40" s="336"/>
      <c r="G40" s="336"/>
      <c r="H40" s="766" t="s">
        <v>21</v>
      </c>
      <c r="I40" s="767"/>
      <c r="J40" s="768"/>
      <c r="K40" s="171">
        <f>SUM(K17:K39)</f>
        <v>0</v>
      </c>
      <c r="L40" s="305" t="s">
        <v>1</v>
      </c>
    </row>
    <row r="41" spans="2:16" s="2" customFormat="1" ht="15" customHeight="1" x14ac:dyDescent="0.15">
      <c r="B41" s="232" t="s">
        <v>13</v>
      </c>
      <c r="C41" s="230" t="s">
        <v>128</v>
      </c>
      <c r="D41" s="231"/>
      <c r="E41" s="231"/>
      <c r="F41" s="231"/>
      <c r="G41" s="231"/>
      <c r="H41" s="229"/>
      <c r="I41" s="232"/>
      <c r="J41" s="233"/>
      <c r="K41" s="233"/>
      <c r="L41" s="232"/>
      <c r="M41" s="158"/>
    </row>
    <row r="42" spans="2:16" s="2" customFormat="1" ht="15" customHeight="1" x14ac:dyDescent="0.15">
      <c r="B42" s="185"/>
      <c r="C42" s="235" t="s">
        <v>127</v>
      </c>
      <c r="D42" s="778" t="s">
        <v>794</v>
      </c>
      <c r="E42" s="754"/>
      <c r="F42" s="754"/>
      <c r="G42" s="755"/>
      <c r="H42" s="386"/>
      <c r="I42" s="169" t="s">
        <v>15</v>
      </c>
      <c r="J42" s="271"/>
      <c r="K42" s="170">
        <f>+H42*J42</f>
        <v>0</v>
      </c>
      <c r="L42" s="185" t="s">
        <v>14</v>
      </c>
    </row>
    <row r="43" spans="2:16" s="2" customFormat="1" ht="15" customHeight="1" x14ac:dyDescent="0.15">
      <c r="B43" s="305"/>
      <c r="C43" s="236"/>
      <c r="D43" s="236"/>
      <c r="E43" s="236"/>
      <c r="F43" s="236"/>
      <c r="G43" s="236"/>
      <c r="H43" s="228" t="s">
        <v>21</v>
      </c>
      <c r="I43" s="228"/>
      <c r="J43" s="234"/>
      <c r="K43" s="194">
        <f>SUM(K42:K42)</f>
        <v>0</v>
      </c>
      <c r="L43" s="305" t="s">
        <v>1</v>
      </c>
    </row>
    <row r="44" spans="2:16" s="2" customFormat="1" ht="15" customHeight="1" thickBot="1" x14ac:dyDescent="0.2">
      <c r="C44" s="2" t="s">
        <v>91</v>
      </c>
      <c r="H44" s="758" t="s">
        <v>2</v>
      </c>
      <c r="I44" s="758"/>
      <c r="J44" s="758"/>
      <c r="K44" s="195">
        <f>K40+K43</f>
        <v>0</v>
      </c>
      <c r="L44" s="306" t="s">
        <v>1</v>
      </c>
    </row>
    <row r="45" spans="2:16" s="2" customFormat="1" ht="15" customHeight="1" thickTop="1" x14ac:dyDescent="0.15">
      <c r="B45" s="11"/>
      <c r="C45" s="16" t="s">
        <v>774</v>
      </c>
      <c r="I45" s="8"/>
      <c r="J45" s="8"/>
      <c r="K45" s="27"/>
      <c r="L45" s="16"/>
    </row>
    <row r="46" spans="2:16" s="2" customFormat="1" ht="15" customHeight="1" x14ac:dyDescent="0.15">
      <c r="C46" s="16" t="s">
        <v>639</v>
      </c>
    </row>
    <row r="47" spans="2:16" s="2" customFormat="1" ht="15" customHeight="1" x14ac:dyDescent="0.15">
      <c r="C47" s="16" t="s">
        <v>640</v>
      </c>
    </row>
    <row r="48" spans="2:16" s="2" customFormat="1" ht="15" customHeight="1" x14ac:dyDescent="0.15">
      <c r="C48" s="16" t="s">
        <v>642</v>
      </c>
    </row>
    <row r="49" spans="2:15" s="2" customFormat="1" ht="15" customHeight="1" x14ac:dyDescent="0.15">
      <c r="C49" s="16" t="s">
        <v>775</v>
      </c>
    </row>
    <row r="50" spans="2:15" s="2" customFormat="1" ht="15" customHeight="1" x14ac:dyDescent="0.15">
      <c r="C50" s="16" t="s">
        <v>641</v>
      </c>
      <c r="D50" s="1"/>
      <c r="O50" s="16"/>
    </row>
    <row r="51" spans="2:15" ht="16.5" customHeight="1" x14ac:dyDescent="0.15">
      <c r="L51" s="30" t="s">
        <v>32</v>
      </c>
    </row>
    <row r="59" spans="2:15" s="9" customFormat="1" ht="16.5" customHeight="1" x14ac:dyDescent="0.15">
      <c r="B59" s="1"/>
      <c r="C59" s="1"/>
      <c r="D59" s="1"/>
      <c r="E59" s="1"/>
      <c r="F59" s="1"/>
      <c r="G59" s="1"/>
      <c r="H59" s="1"/>
      <c r="I59" s="1"/>
      <c r="J59" s="1"/>
      <c r="K59" s="1"/>
      <c r="L59" s="1"/>
    </row>
    <row r="60" spans="2:15" s="9" customFormat="1" ht="16.5" customHeight="1" x14ac:dyDescent="0.15">
      <c r="B60" s="1"/>
      <c r="C60" s="1"/>
      <c r="D60" s="1"/>
      <c r="E60" s="1"/>
      <c r="F60" s="1"/>
      <c r="G60" s="1"/>
      <c r="H60" s="1"/>
      <c r="I60" s="1"/>
      <c r="J60" s="1"/>
      <c r="K60" s="1"/>
      <c r="L60" s="1"/>
    </row>
  </sheetData>
  <mergeCells count="26">
    <mergeCell ref="H44:J44"/>
    <mergeCell ref="C26:G26"/>
    <mergeCell ref="C30:G30"/>
    <mergeCell ref="C31:G31"/>
    <mergeCell ref="C34:G34"/>
    <mergeCell ref="C35:G35"/>
    <mergeCell ref="C36:G36"/>
    <mergeCell ref="H40:J40"/>
    <mergeCell ref="C29:G29"/>
    <mergeCell ref="C23:G23"/>
    <mergeCell ref="C24:G24"/>
    <mergeCell ref="C27:G27"/>
    <mergeCell ref="C28:G28"/>
    <mergeCell ref="D42:G42"/>
    <mergeCell ref="C22:G22"/>
    <mergeCell ref="J2:K2"/>
    <mergeCell ref="C4:F4"/>
    <mergeCell ref="D11:K11"/>
    <mergeCell ref="G13:K13"/>
    <mergeCell ref="B14:G14"/>
    <mergeCell ref="K14:L14"/>
    <mergeCell ref="D15:G15"/>
    <mergeCell ref="H15:J15"/>
    <mergeCell ref="K16:L16"/>
    <mergeCell ref="C19:G19"/>
    <mergeCell ref="C20:G20"/>
  </mergeCells>
  <phoneticPr fontId="4"/>
  <printOptions horizontalCentered="1" verticalCentered="1"/>
  <pageMargins left="0.39370078740157483" right="0.39370078740157483" top="0.39370078740157483" bottom="0" header="0" footer="0"/>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75E5317C-6B67-4DA4-86D0-2F419DFB135F}">
          <x14:formula1>
            <xm:f>'住宅性能評価、長期使用'!$D$18:$E$18</xm:f>
          </x14:formula1>
          <xm:sqref>C29:G29</xm:sqref>
        </x14:dataValidation>
        <x14:dataValidation type="list" allowBlank="1" showInputMessage="1" showErrorMessage="1" xr:uid="{1BA7A729-90BB-4D60-813B-1B4F5DBD1EE3}">
          <x14:formula1>
            <xm:f>'住宅性能評価、長期使用'!$E$13:$E16</xm:f>
          </x14:formula1>
          <xm:sqref>C31:G31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B1:AA342"/>
  <sheetViews>
    <sheetView view="pageBreakPreview" zoomScaleNormal="100" zoomScaleSheetLayoutView="100" workbookViewId="0">
      <selection activeCell="C18" sqref="C18:D18"/>
    </sheetView>
  </sheetViews>
  <sheetFormatPr defaultColWidth="3.625" defaultRowHeight="16.5" customHeight="1" x14ac:dyDescent="0.15"/>
  <cols>
    <col min="1" max="1" width="0.625" style="1" customWidth="1"/>
    <col min="2" max="2" width="2.75" style="1" customWidth="1"/>
    <col min="3" max="3" width="19.625" style="1" customWidth="1"/>
    <col min="4" max="4" width="17.625" style="1" customWidth="1"/>
    <col min="5" max="5" width="5.25" style="1" customWidth="1"/>
    <col min="6" max="6" width="4.75" style="1" customWidth="1"/>
    <col min="7" max="7" width="7.25" style="1" customWidth="1"/>
    <col min="8" max="9" width="4.75" style="1" customWidth="1"/>
    <col min="10" max="10" width="8.75" style="1" customWidth="1"/>
    <col min="11" max="11" width="13.25" style="1" customWidth="1"/>
    <col min="12" max="12" width="2.75" style="1" customWidth="1"/>
    <col min="13" max="13" width="0.625" style="1" customWidth="1"/>
    <col min="14" max="14" width="3.625" style="1"/>
    <col min="15" max="16" width="3.625" style="1" customWidth="1"/>
    <col min="17" max="16384" width="3.625" style="1"/>
  </cols>
  <sheetData>
    <row r="1" spans="2:27" ht="19.5" customHeight="1" x14ac:dyDescent="0.15">
      <c r="B1" s="204" t="s">
        <v>29</v>
      </c>
      <c r="C1" s="205"/>
      <c r="D1" s="204"/>
      <c r="E1" s="206"/>
      <c r="F1" s="206"/>
      <c r="G1" s="206"/>
      <c r="H1" s="205"/>
      <c r="I1" s="205"/>
      <c r="J1" s="205"/>
      <c r="K1" s="205"/>
      <c r="L1" s="205"/>
      <c r="O1" s="308"/>
      <c r="P1" s="10"/>
      <c r="Q1" s="10"/>
      <c r="R1" s="10"/>
      <c r="S1" s="10"/>
      <c r="T1" s="308"/>
      <c r="U1" s="10"/>
      <c r="V1" s="10"/>
      <c r="W1" s="10"/>
      <c r="X1" s="10"/>
      <c r="Y1" s="10"/>
      <c r="Z1" s="10"/>
      <c r="AA1" s="10"/>
    </row>
    <row r="2" spans="2:27" ht="15" customHeight="1" x14ac:dyDescent="0.15">
      <c r="B2" s="160"/>
      <c r="C2" s="160"/>
      <c r="D2" s="160"/>
      <c r="E2" s="207"/>
      <c r="F2" s="207"/>
      <c r="G2" s="207"/>
      <c r="H2" s="207"/>
      <c r="I2" s="207"/>
      <c r="J2" s="733">
        <f ca="1">TODAY()</f>
        <v>45848</v>
      </c>
      <c r="K2" s="733"/>
      <c r="L2" s="207"/>
    </row>
    <row r="3" spans="2:27" ht="15" customHeight="1" x14ac:dyDescent="0.15">
      <c r="B3" s="160"/>
      <c r="C3" s="160"/>
      <c r="D3" s="160"/>
      <c r="E3" s="207"/>
      <c r="F3" s="207"/>
      <c r="G3" s="207"/>
      <c r="H3" s="207"/>
      <c r="I3" s="207"/>
      <c r="J3" s="378"/>
      <c r="K3" s="378"/>
      <c r="L3" s="207"/>
    </row>
    <row r="4" spans="2:27" ht="15" customHeight="1" x14ac:dyDescent="0.15">
      <c r="B4" s="160"/>
      <c r="C4" s="734" t="str">
        <f>+入力シート!E9&amp;"　　"&amp;入力シート!G9</f>
        <v>　　御中</v>
      </c>
      <c r="D4" s="735"/>
      <c r="E4" s="736"/>
      <c r="F4" s="736"/>
      <c r="G4" s="160"/>
      <c r="H4" s="160"/>
      <c r="I4" s="160"/>
      <c r="J4" s="160"/>
      <c r="K4" s="160"/>
      <c r="L4" s="160"/>
    </row>
    <row r="5" spans="2:27" ht="15" customHeight="1" x14ac:dyDescent="0.15">
      <c r="B5" s="160"/>
      <c r="C5" s="162"/>
      <c r="D5" s="160"/>
      <c r="E5" s="160"/>
      <c r="F5" s="160"/>
      <c r="G5" s="160"/>
      <c r="H5" s="160"/>
      <c r="I5" s="160"/>
      <c r="J5" s="160"/>
      <c r="K5" s="160"/>
      <c r="L5" s="160"/>
    </row>
    <row r="6" spans="2:27" ht="15" customHeight="1" x14ac:dyDescent="0.15">
      <c r="B6" s="160"/>
      <c r="C6" s="160"/>
      <c r="D6" s="160"/>
      <c r="E6" s="160"/>
      <c r="F6" s="160"/>
      <c r="G6" s="160"/>
      <c r="H6" s="158" t="str" cm="1">
        <f t="array" ref="H6">_xlfn.IFS(入力シート!$E$8=基本入力データシート!$D$3,基本入力データシート!$E$3,入力シート!$E$8=基本入力データシート!$D$7,基本入力データシート!$E$7,入力シート!$E$8=基本入力データシート!$D$8,基本入力データシート!$E$8,入力シート!$E$8=基本入力データシート!$D$4,基本入力データシート!$E$4,入力シート!$E$8=基本入力データシート!$D$5,基本入力データシート!$E$5,入力シート!$E$8=基本入力データシート!$D$6,基本入力データシート!$E$6)</f>
        <v>〒150-0002  東京都渋谷区渋谷1-13-9</v>
      </c>
      <c r="I6" s="159"/>
      <c r="J6" s="160"/>
      <c r="K6" s="160"/>
      <c r="L6" s="160"/>
    </row>
    <row r="7" spans="2:27" ht="15" customHeight="1" x14ac:dyDescent="0.15">
      <c r="B7" s="160"/>
      <c r="C7" s="160"/>
      <c r="D7" s="160"/>
      <c r="E7" s="160"/>
      <c r="F7" s="160"/>
      <c r="G7" s="160"/>
      <c r="H7" s="158" t="str" cm="1">
        <f t="array" ref="H7">_xlfn.IFS(入力シート!$E$8=基本入力データシート!$D$3,基本入力データシート!$F$3,入力シート!$E$8=基本入力データシート!$D$7,基本入力データシート!$F$7,入力シート!$E$8=基本入力データシート!$D$8,基本入力データシート!$F$8,入力シート!$E$8=基本入力データシート!$D$4,基本入力データシート!$F$4,入力シート!$E$8=基本入力データシート!$D$5,基本入力データシート!$F$5,入力シート!$E$8=基本入力データシート!$D$6,基本入力データシート!$F$6)</f>
        <v>株式会社 J 建築検査センター</v>
      </c>
      <c r="I7" s="161"/>
      <c r="J7" s="160"/>
      <c r="K7" s="160"/>
      <c r="L7" s="208"/>
      <c r="M7" s="5"/>
    </row>
    <row r="8" spans="2:27" ht="15" customHeight="1" x14ac:dyDescent="0.15">
      <c r="B8" s="160"/>
      <c r="C8" s="160"/>
      <c r="D8" s="160"/>
      <c r="E8" s="160"/>
      <c r="F8" s="160"/>
      <c r="G8" s="160"/>
      <c r="H8" s="158" t="str" cm="1">
        <f t="array" ref="H8">_xlfn.IFS(入力シート!$E$8=基本入力データシート!$D$3,基本入力データシート!$G$3,入力シート!$E$8=基本入力データシート!$D$7,基本入力データシート!$G$7,入力シート!$E$8=基本入力データシート!$D$8,基本入力データシート!$G$8,入力シート!$E$8=基本入力データシート!$D$4,基本入力データシート!$G$4,入力シート!$E$8=基本入力データシート!$D$5,基本入力データシート!$G$5,入力シート!$E$8=基本入力データシート!$D$6,基本入力データシート!$G$6)</f>
        <v>TEL:03-5464-7778　FAX:03-5464-7779</v>
      </c>
      <c r="I8" s="161"/>
      <c r="J8" s="160"/>
      <c r="K8" s="160"/>
      <c r="L8" s="160"/>
    </row>
    <row r="9" spans="2:27" ht="15" customHeight="1" x14ac:dyDescent="0.15">
      <c r="B9" s="160"/>
      <c r="C9" s="209" t="s">
        <v>3</v>
      </c>
      <c r="D9" s="160"/>
      <c r="E9" s="160"/>
      <c r="F9" s="160"/>
      <c r="G9" s="160"/>
      <c r="H9" s="160"/>
      <c r="I9" s="161"/>
      <c r="J9" s="160"/>
      <c r="K9" s="160"/>
      <c r="L9" s="160"/>
    </row>
    <row r="10" spans="2:27" ht="11.25" customHeight="1" x14ac:dyDescent="0.15">
      <c r="B10" s="160"/>
      <c r="C10" s="210"/>
      <c r="D10" s="210"/>
      <c r="E10" s="210"/>
      <c r="F10" s="210"/>
      <c r="G10" s="210"/>
      <c r="H10" s="210"/>
      <c r="I10" s="210"/>
      <c r="J10" s="210"/>
      <c r="K10" s="210"/>
      <c r="L10" s="160"/>
    </row>
    <row r="11" spans="2:27" s="10" customFormat="1" ht="24" customHeight="1" x14ac:dyDescent="0.15">
      <c r="B11" s="211"/>
      <c r="C11" s="212" t="s">
        <v>7</v>
      </c>
      <c r="D11" s="737">
        <f>+入力シート!E10</f>
        <v>0</v>
      </c>
      <c r="E11" s="738"/>
      <c r="F11" s="738"/>
      <c r="G11" s="738"/>
      <c r="H11" s="738"/>
      <c r="I11" s="738"/>
      <c r="J11" s="738"/>
      <c r="K11" s="738"/>
      <c r="L11" s="211"/>
    </row>
    <row r="12" spans="2:27" s="10" customFormat="1" ht="24" customHeight="1" x14ac:dyDescent="0.15">
      <c r="B12" s="211"/>
      <c r="C12" s="213" t="s">
        <v>6</v>
      </c>
      <c r="D12" s="163">
        <f>+K50</f>
        <v>47200</v>
      </c>
      <c r="E12" s="214" t="s">
        <v>14</v>
      </c>
      <c r="F12" s="214"/>
      <c r="G12" s="214"/>
      <c r="H12" s="214"/>
      <c r="I12" s="215"/>
      <c r="J12" s="215"/>
      <c r="K12" s="215"/>
      <c r="L12" s="211"/>
    </row>
    <row r="13" spans="2:27" s="2" customFormat="1" ht="15" customHeight="1" x14ac:dyDescent="0.15">
      <c r="B13" s="219"/>
      <c r="C13" s="216" t="s">
        <v>4</v>
      </c>
      <c r="D13" s="217" t="s">
        <v>8</v>
      </c>
      <c r="E13" s="218" t="s">
        <v>5</v>
      </c>
      <c r="F13" s="216"/>
      <c r="G13" s="739"/>
      <c r="H13" s="740"/>
      <c r="I13" s="740"/>
      <c r="J13" s="740"/>
      <c r="K13" s="740"/>
      <c r="L13" s="158"/>
      <c r="O13" s="10"/>
    </row>
    <row r="14" spans="2:27" s="2" customFormat="1" ht="15" customHeight="1" x14ac:dyDescent="0.15">
      <c r="B14" s="741" t="s">
        <v>9</v>
      </c>
      <c r="C14" s="741"/>
      <c r="D14" s="741"/>
      <c r="E14" s="741"/>
      <c r="F14" s="741"/>
      <c r="G14" s="741"/>
      <c r="H14" s="222" t="s">
        <v>10</v>
      </c>
      <c r="I14" s="223" t="s">
        <v>0</v>
      </c>
      <c r="J14" s="224" t="s">
        <v>11</v>
      </c>
      <c r="K14" s="742" t="s">
        <v>12</v>
      </c>
      <c r="L14" s="741"/>
      <c r="O14" s="10"/>
    </row>
    <row r="15" spans="2:27" s="2" customFormat="1" ht="15" customHeight="1" x14ac:dyDescent="0.15">
      <c r="B15" s="220"/>
      <c r="C15" s="164" t="s">
        <v>28</v>
      </c>
      <c r="D15" s="746" t="str">
        <f>+入力シート!E12&amp;入力シート!F12&amp;入力シート!G12</f>
        <v>東京都</v>
      </c>
      <c r="E15" s="738"/>
      <c r="F15" s="738"/>
      <c r="G15" s="738"/>
      <c r="H15" s="747" t="str">
        <f>+入力シート!$E$16</f>
        <v>一戸建ての住宅</v>
      </c>
      <c r="I15" s="748"/>
      <c r="J15" s="748"/>
      <c r="K15" s="166" t="str">
        <f>IF(入力シート!F16="","",入力シート!F16)</f>
        <v/>
      </c>
      <c r="L15" s="187" t="str">
        <f>IF(K15="","","戸")</f>
        <v/>
      </c>
      <c r="O15" s="10"/>
    </row>
    <row r="16" spans="2:27" s="2" customFormat="1" ht="15" customHeight="1" x14ac:dyDescent="0.15">
      <c r="B16" s="221"/>
      <c r="C16" s="165" t="s">
        <v>27</v>
      </c>
      <c r="D16" s="167" t="str">
        <f>+入力シート!E14</f>
        <v>木造</v>
      </c>
      <c r="E16" s="189" t="s">
        <v>46</v>
      </c>
      <c r="F16" s="168">
        <f>+入力シート!G14</f>
        <v>2</v>
      </c>
      <c r="G16" s="190" t="s">
        <v>17</v>
      </c>
      <c r="H16" s="187" t="str">
        <f>IF(入力シート!H14="","-",入力シート!H14)</f>
        <v>-</v>
      </c>
      <c r="I16" s="191" t="s">
        <v>31</v>
      </c>
      <c r="J16" s="192" t="s">
        <v>30</v>
      </c>
      <c r="K16" s="749" t="str">
        <f>+入力シート!F14</f>
        <v>0-100㎡以内(3号)</v>
      </c>
      <c r="L16" s="750"/>
      <c r="O16" s="10"/>
    </row>
    <row r="17" spans="2:15" s="2" customFormat="1" ht="15" customHeight="1" x14ac:dyDescent="0.15">
      <c r="B17" s="333" t="s">
        <v>39</v>
      </c>
      <c r="C17" s="375" t="s">
        <v>38</v>
      </c>
      <c r="D17" s="12"/>
      <c r="E17" s="13"/>
      <c r="F17" s="13"/>
      <c r="G17" s="13"/>
      <c r="H17" s="4"/>
      <c r="I17" s="4"/>
      <c r="J17" s="28"/>
      <c r="K17" s="24"/>
      <c r="L17" s="12"/>
    </row>
    <row r="18" spans="2:15" s="2" customFormat="1" ht="15" customHeight="1" x14ac:dyDescent="0.15">
      <c r="B18" s="185" t="str">
        <f t="shared" ref="B18:B30" si="0">IF($C18="","","・")</f>
        <v>・</v>
      </c>
      <c r="C18" s="757" t="s">
        <v>1175</v>
      </c>
      <c r="D18" s="754"/>
      <c r="E18" s="31"/>
      <c r="F18" s="31"/>
      <c r="G18" s="31"/>
      <c r="H18" s="174">
        <f>IF($C18="","",1)</f>
        <v>1</v>
      </c>
      <c r="I18" s="174" t="str">
        <f>IF($C18="","","式")</f>
        <v>式</v>
      </c>
      <c r="J18" s="175" cm="1">
        <f t="array" ref="J18">IFERROR(_xlfn.IFS(入力シート!$E$1=確認申請料金表データ!A$1,J75,入力シート!$E$1=確認申請料金表データ!A$107,J132,入力シート!$E$1=確認申請料金表データ!A$211,J189,入力シート!$E$1=確認申請料金表データ!A$315,J246,入力シート!$E$1=確認申請料金表データ!A$419,J303),"")</f>
        <v>45000</v>
      </c>
      <c r="K18" s="176">
        <f>IFERROR(+J18*H18,"")</f>
        <v>45000</v>
      </c>
      <c r="L18" s="185" t="str">
        <f>IF($C18="","","-")</f>
        <v>-</v>
      </c>
    </row>
    <row r="19" spans="2:15" s="2" customFormat="1" ht="15" customHeight="1" x14ac:dyDescent="0.15">
      <c r="B19" s="185" t="str">
        <f t="shared" si="0"/>
        <v/>
      </c>
      <c r="C19" s="157"/>
      <c r="D19" s="303"/>
      <c r="E19" s="781"/>
      <c r="F19" s="781"/>
      <c r="G19" s="784"/>
      <c r="H19" s="174" t="str">
        <f>IF($C19="","",1)</f>
        <v/>
      </c>
      <c r="I19" s="174" t="str">
        <f>IF($C19="","","式")</f>
        <v/>
      </c>
      <c r="J19" s="175" t="str" cm="1">
        <f t="array" ref="J19">IFERROR(_xlfn.IFS(入力シート!$E$1=確認申請料金表データ!A$1,J76,入力シート!$E$1=確認申請料金表データ!A$107,J133,入力シート!$E$1=確認申請料金表データ!A$211,J190,入力シート!$E$1=確認申請料金表データ!A$315,J247,入力シート!$E$1=確認申請料金表データ!A$419,J304),"")</f>
        <v/>
      </c>
      <c r="K19" s="176" t="str">
        <f>IFERROR(+J19*H19,"")</f>
        <v/>
      </c>
      <c r="L19" s="185" t="str">
        <f>IF($C19="","","-")</f>
        <v/>
      </c>
    </row>
    <row r="20" spans="2:15" s="2" customFormat="1" ht="15" customHeight="1" x14ac:dyDescent="0.15">
      <c r="B20" s="185" t="str">
        <f t="shared" si="0"/>
        <v/>
      </c>
      <c r="C20" s="157"/>
      <c r="D20" s="303"/>
      <c r="E20" s="781"/>
      <c r="F20" s="781"/>
      <c r="G20" s="784"/>
      <c r="H20" s="174" t="str">
        <f t="shared" ref="H20:H28" si="1">IF($C20="","",1)</f>
        <v/>
      </c>
      <c r="I20" s="174" t="str">
        <f t="shared" ref="I20:I28" si="2">IF($C20="","","式")</f>
        <v/>
      </c>
      <c r="J20" s="175" t="str" cm="1">
        <f t="array" ref="J20">IFERROR(_xlfn.IFS(入力シート!$E$1=確認申請料金表データ!A$1,J77,入力シート!$E$1=確認申請料金表データ!A$107,J134,入力シート!$E$1=確認申請料金表データ!A$211,J191,入力シート!$E$1=確認申請料金表データ!A$315,J248,入力シート!$E$1=確認申請料金表データ!A$419,J305),"")</f>
        <v/>
      </c>
      <c r="K20" s="176" t="str">
        <f t="shared" ref="K20:K28" si="3">IFERROR(+J20*H20,"")</f>
        <v/>
      </c>
      <c r="L20" s="185" t="str">
        <f t="shared" ref="L20:L28" si="4">IF($C20="","","-")</f>
        <v/>
      </c>
      <c r="O20" s="270"/>
    </row>
    <row r="21" spans="2:15" s="2" customFormat="1" ht="15" customHeight="1" x14ac:dyDescent="0.15">
      <c r="B21" s="185" t="str">
        <f t="shared" si="0"/>
        <v/>
      </c>
      <c r="C21" s="157"/>
      <c r="D21" s="303"/>
      <c r="E21" s="781"/>
      <c r="F21" s="781"/>
      <c r="G21" s="784"/>
      <c r="H21" s="174" t="str">
        <f t="shared" si="1"/>
        <v/>
      </c>
      <c r="I21" s="174" t="str">
        <f t="shared" si="2"/>
        <v/>
      </c>
      <c r="J21" s="175" t="str" cm="1">
        <f t="array" ref="J21">IFERROR(_xlfn.IFS(入力シート!$E$1=確認申請料金表データ!A$1,J78,入力シート!$E$1=確認申請料金表データ!A$107,J135,入力シート!$E$1=確認申請料金表データ!A$211,J192,入力シート!$E$1=確認申請料金表データ!A$315,J249,入力シート!$E$1=確認申請料金表データ!A$419,J306),"")</f>
        <v/>
      </c>
      <c r="K21" s="176" t="str">
        <f t="shared" si="3"/>
        <v/>
      </c>
      <c r="L21" s="185" t="str">
        <f t="shared" si="4"/>
        <v/>
      </c>
      <c r="N21" s="2" t="s">
        <v>182</v>
      </c>
      <c r="O21" s="270" t="s">
        <v>1002</v>
      </c>
    </row>
    <row r="22" spans="2:15" s="2" customFormat="1" ht="15" hidden="1" customHeight="1" x14ac:dyDescent="0.15">
      <c r="B22" s="185" t="str">
        <f t="shared" si="0"/>
        <v/>
      </c>
      <c r="C22" s="157"/>
      <c r="D22" s="303"/>
      <c r="E22" s="781"/>
      <c r="F22" s="782"/>
      <c r="G22" s="783"/>
      <c r="H22" s="174" t="str">
        <f t="shared" si="1"/>
        <v/>
      </c>
      <c r="I22" s="174" t="str">
        <f t="shared" si="2"/>
        <v/>
      </c>
      <c r="J22" s="175" t="str" cm="1">
        <f t="array" ref="J22">IFERROR(_xlfn.IFS(入力シート!$E$1=確認申請料金表データ!A$1,J79,入力シート!$E$1=確認申請料金表データ!A$107,J136,入力シート!$E$1=確認申請料金表データ!A$211,J193,入力シート!$E$1=確認申請料金表データ!A$315,J250,入力シート!$E$1=確認申請料金表データ!A$419,J307),"")</f>
        <v/>
      </c>
      <c r="K22" s="176" t="str">
        <f t="shared" si="3"/>
        <v/>
      </c>
      <c r="L22" s="185" t="str">
        <f t="shared" si="4"/>
        <v/>
      </c>
      <c r="O22" s="270"/>
    </row>
    <row r="23" spans="2:15" s="2" customFormat="1" ht="15" hidden="1" customHeight="1" x14ac:dyDescent="0.15">
      <c r="B23" s="185" t="str">
        <f t="shared" si="0"/>
        <v/>
      </c>
      <c r="C23" s="157"/>
      <c r="D23" s="303"/>
      <c r="E23" s="781"/>
      <c r="F23" s="782"/>
      <c r="G23" s="783"/>
      <c r="H23" s="174" t="str">
        <f t="shared" si="1"/>
        <v/>
      </c>
      <c r="I23" s="174" t="str">
        <f t="shared" si="2"/>
        <v/>
      </c>
      <c r="J23" s="175" t="str" cm="1">
        <f t="array" ref="J23">IFERROR(_xlfn.IFS(入力シート!$E$1=確認申請料金表データ!A$1,J80,入力シート!$E$1=確認申請料金表データ!A$107,J137,入力シート!$E$1=確認申請料金表データ!A$211,J194,入力シート!$E$1=確認申請料金表データ!A$315,J251,入力シート!$E$1=確認申請料金表データ!A$419,J308),"")</f>
        <v/>
      </c>
      <c r="K23" s="176" t="str">
        <f t="shared" si="3"/>
        <v/>
      </c>
      <c r="L23" s="185" t="str">
        <f t="shared" si="4"/>
        <v/>
      </c>
      <c r="O23" s="270"/>
    </row>
    <row r="24" spans="2:15" s="2" customFormat="1" ht="15" hidden="1" customHeight="1" x14ac:dyDescent="0.15">
      <c r="B24" s="185" t="str">
        <f t="shared" si="0"/>
        <v/>
      </c>
      <c r="C24" s="157"/>
      <c r="D24" s="303"/>
      <c r="E24" s="781"/>
      <c r="F24" s="782"/>
      <c r="G24" s="783"/>
      <c r="H24" s="174" t="str">
        <f t="shared" si="1"/>
        <v/>
      </c>
      <c r="I24" s="174" t="str">
        <f t="shared" si="2"/>
        <v/>
      </c>
      <c r="J24" s="175" t="str" cm="1">
        <f t="array" ref="J24">IFERROR(_xlfn.IFS(入力シート!$E$1=確認申請料金表データ!A$1,J81,入力シート!$E$1=確認申請料金表データ!A$107,J138,入力シート!$E$1=確認申請料金表データ!A$211,J195,入力シート!$E$1=確認申請料金表データ!A$315,J252,入力シート!$E$1=確認申請料金表データ!A$419,J309),"")</f>
        <v/>
      </c>
      <c r="K24" s="176" t="str">
        <f t="shared" si="3"/>
        <v/>
      </c>
      <c r="L24" s="185" t="str">
        <f t="shared" si="4"/>
        <v/>
      </c>
      <c r="O24" s="270"/>
    </row>
    <row r="25" spans="2:15" s="2" customFormat="1" ht="15" hidden="1" customHeight="1" x14ac:dyDescent="0.15">
      <c r="B25" s="185" t="str">
        <f t="shared" si="0"/>
        <v/>
      </c>
      <c r="C25" s="157"/>
      <c r="D25" s="303"/>
      <c r="E25" s="781"/>
      <c r="F25" s="782"/>
      <c r="G25" s="783"/>
      <c r="H25" s="174" t="str">
        <f t="shared" si="1"/>
        <v/>
      </c>
      <c r="I25" s="174" t="str">
        <f t="shared" si="2"/>
        <v/>
      </c>
      <c r="J25" s="175" t="str" cm="1">
        <f t="array" ref="J25">IFERROR(_xlfn.IFS(入力シート!$E$1=確認申請料金表データ!A$1,J82,入力シート!$E$1=確認申請料金表データ!A$107,J139,入力シート!$E$1=確認申請料金表データ!A$211,J196,入力シート!$E$1=確認申請料金表データ!A$315,J253,入力シート!$E$1=確認申請料金表データ!A$419,J310),"")</f>
        <v/>
      </c>
      <c r="K25" s="176" t="str">
        <f t="shared" si="3"/>
        <v/>
      </c>
      <c r="L25" s="185" t="str">
        <f t="shared" si="4"/>
        <v/>
      </c>
      <c r="O25" s="270"/>
    </row>
    <row r="26" spans="2:15" s="2" customFormat="1" ht="15" hidden="1" customHeight="1" x14ac:dyDescent="0.15">
      <c r="B26" s="185" t="str">
        <f t="shared" si="0"/>
        <v/>
      </c>
      <c r="C26" s="157"/>
      <c r="D26" s="303"/>
      <c r="E26" s="781"/>
      <c r="F26" s="782"/>
      <c r="G26" s="783"/>
      <c r="H26" s="174" t="str">
        <f t="shared" si="1"/>
        <v/>
      </c>
      <c r="I26" s="174" t="str">
        <f t="shared" si="2"/>
        <v/>
      </c>
      <c r="J26" s="175" t="str" cm="1">
        <f t="array" ref="J26">IFERROR(_xlfn.IFS(入力シート!$E$1=確認申請料金表データ!A$1,J83,入力シート!$E$1=確認申請料金表データ!A$107,J140,入力シート!$E$1=確認申請料金表データ!A$211,J197,入力シート!$E$1=確認申請料金表データ!A$315,J254,入力シート!$E$1=確認申請料金表データ!A$419,J311),"")</f>
        <v/>
      </c>
      <c r="K26" s="176" t="str">
        <f t="shared" si="3"/>
        <v/>
      </c>
      <c r="L26" s="185" t="str">
        <f t="shared" si="4"/>
        <v/>
      </c>
      <c r="O26" s="270"/>
    </row>
    <row r="27" spans="2:15" s="2" customFormat="1" ht="15" hidden="1" customHeight="1" x14ac:dyDescent="0.15">
      <c r="B27" s="185" t="str">
        <f t="shared" si="0"/>
        <v/>
      </c>
      <c r="C27" s="157"/>
      <c r="D27" s="303"/>
      <c r="E27" s="781"/>
      <c r="F27" s="782"/>
      <c r="G27" s="783"/>
      <c r="H27" s="174" t="str">
        <f t="shared" si="1"/>
        <v/>
      </c>
      <c r="I27" s="174" t="str">
        <f t="shared" si="2"/>
        <v/>
      </c>
      <c r="J27" s="175" t="str" cm="1">
        <f t="array" ref="J27">IFERROR(_xlfn.IFS(入力シート!$E$1=確認申請料金表データ!A$1,J84,入力シート!$E$1=確認申請料金表データ!A$107,J141,入力シート!$E$1=確認申請料金表データ!A$211,J198,入力シート!$E$1=確認申請料金表データ!A$315,J255,入力シート!$E$1=確認申請料金表データ!A$419,J312),"")</f>
        <v/>
      </c>
      <c r="K27" s="176" t="str">
        <f t="shared" si="3"/>
        <v/>
      </c>
      <c r="L27" s="185" t="str">
        <f t="shared" si="4"/>
        <v/>
      </c>
      <c r="O27" s="270"/>
    </row>
    <row r="28" spans="2:15" s="2" customFormat="1" ht="15" hidden="1" customHeight="1" x14ac:dyDescent="0.15">
      <c r="B28" s="185" t="str">
        <f t="shared" si="0"/>
        <v/>
      </c>
      <c r="C28" s="157"/>
      <c r="D28" s="303"/>
      <c r="E28" s="781"/>
      <c r="F28" s="782"/>
      <c r="G28" s="783"/>
      <c r="H28" s="174" t="str">
        <f t="shared" si="1"/>
        <v/>
      </c>
      <c r="I28" s="174" t="str">
        <f t="shared" si="2"/>
        <v/>
      </c>
      <c r="J28" s="175" t="str" cm="1">
        <f t="array" ref="J28">IFERROR(_xlfn.IFS(入力シート!$E$1=確認申請料金表データ!A$1,J85,入力シート!$E$1=確認申請料金表データ!A$107,J142,入力シート!$E$1=確認申請料金表データ!A$211,J199,入力シート!$E$1=確認申請料金表データ!A$315,J256,入力シート!$E$1=確認申請料金表データ!A$419,J313),"")</f>
        <v/>
      </c>
      <c r="K28" s="176" t="str">
        <f t="shared" si="3"/>
        <v/>
      </c>
      <c r="L28" s="185" t="str">
        <f t="shared" si="4"/>
        <v/>
      </c>
      <c r="O28" s="270"/>
    </row>
    <row r="29" spans="2:15" s="2" customFormat="1" ht="15" customHeight="1" x14ac:dyDescent="0.15">
      <c r="B29" s="185" t="str">
        <f t="shared" si="0"/>
        <v/>
      </c>
      <c r="C29" s="792"/>
      <c r="D29" s="793"/>
      <c r="E29" s="754"/>
      <c r="F29" s="754"/>
      <c r="G29" s="755"/>
      <c r="H29" s="174" t="str">
        <f>IF($C29="","",1)</f>
        <v/>
      </c>
      <c r="I29" s="174" t="str">
        <f>IF($C29="","","式")</f>
        <v/>
      </c>
      <c r="J29" s="175" t="str" cm="1">
        <f t="array" ref="J29">IFERROR(_xlfn.IFS(入力シート!$E$1=確認申請料金表データ!A$1,J86,入力シート!$E$1=確認申請料金表データ!A$107,J143,入力シート!$E$1=確認申請料金表データ!A$211,J200,入力シート!$E$1=確認申請料金表データ!A$315,J257,入力シート!$E$1=確認申請料金表データ!A$419,J314),"")</f>
        <v/>
      </c>
      <c r="K29" s="176" t="str">
        <f>IFERROR(+J29*H29,"")</f>
        <v/>
      </c>
      <c r="L29" s="185" t="str">
        <f>IF($C29="","","-")</f>
        <v/>
      </c>
      <c r="N29" s="2" t="s">
        <v>182</v>
      </c>
      <c r="O29" s="2" t="s">
        <v>729</v>
      </c>
    </row>
    <row r="30" spans="2:15" s="2" customFormat="1" ht="15" customHeight="1" x14ac:dyDescent="0.15">
      <c r="B30" s="185" t="str">
        <f t="shared" si="0"/>
        <v/>
      </c>
      <c r="C30" s="743" t="str">
        <f>IF(入力シート!G22="","","省エネ適判の検査が必要な棟数が2以上｢追加１棟毎に完了検査手数料10%加算｣")</f>
        <v/>
      </c>
      <c r="D30" s="743"/>
      <c r="E30" s="743"/>
      <c r="F30" s="743"/>
      <c r="G30" s="756"/>
      <c r="H30" s="260" t="str">
        <f>+IF(入力シート!G22="","",(入力シート!G22-1))</f>
        <v/>
      </c>
      <c r="I30" s="174" t="str">
        <f>IF(H30="","","棟")</f>
        <v/>
      </c>
      <c r="J30" s="175" t="str">
        <f>IF(H30="","",J29*(H30*0.1))</f>
        <v/>
      </c>
      <c r="K30" s="176" t="str">
        <f t="shared" ref="K30" si="5">IFERROR(+J30*H30,"")</f>
        <v/>
      </c>
      <c r="L30" s="185" t="str">
        <f t="shared" ref="L30" si="6">IF($C30="","","-")</f>
        <v/>
      </c>
    </row>
    <row r="31" spans="2:15" s="2" customFormat="1" ht="15" customHeight="1" x14ac:dyDescent="0.15">
      <c r="B31" s="334"/>
      <c r="C31" s="7"/>
      <c r="D31" s="12"/>
      <c r="E31" s="31"/>
      <c r="F31" s="31"/>
      <c r="G31" s="31"/>
      <c r="H31" s="4"/>
      <c r="I31" s="4"/>
      <c r="J31" s="156"/>
      <c r="K31" s="24"/>
      <c r="L31" s="186"/>
    </row>
    <row r="32" spans="2:15" s="2" customFormat="1" ht="15" customHeight="1" x14ac:dyDescent="0.15">
      <c r="B32" s="335" t="s">
        <v>13</v>
      </c>
      <c r="C32" s="225" t="s">
        <v>123</v>
      </c>
      <c r="D32" s="12"/>
      <c r="E32" s="31"/>
      <c r="F32" s="31"/>
      <c r="G32" s="31"/>
      <c r="H32" s="4"/>
      <c r="I32" s="4"/>
      <c r="J32" s="156"/>
      <c r="K32" s="24"/>
      <c r="L32" s="186"/>
    </row>
    <row r="33" spans="2:15" s="2" customFormat="1" ht="15" customHeight="1" x14ac:dyDescent="0.15">
      <c r="B33" s="185" t="str">
        <f>IF($C33="","",1)</f>
        <v/>
      </c>
      <c r="C33" s="757"/>
      <c r="D33" s="773"/>
      <c r="E33" s="773"/>
      <c r="F33" s="773"/>
      <c r="G33" s="785"/>
      <c r="H33" s="174" t="str">
        <f t="shared" ref="H33:H36" si="7">IF($C33="","",1)</f>
        <v/>
      </c>
      <c r="I33" s="174" t="str">
        <f t="shared" ref="I33:I36" si="8">IF($C33="","","式")</f>
        <v/>
      </c>
      <c r="J33" s="175" t="str" cm="1">
        <f t="array" ref="J33">IFERROR(_xlfn.IFS(入力シート!$E$1=確認申請料金表データ!A$1,J90,入力シート!$E$1=確認申請料金表データ!A$107,J147,入力シート!$E$1=確認申請料金表データ!A$211,J204,入力シート!$E$1=確認申請料金表データ!A$315,J261,入力シート!$E$1=確認申請料金表データ!A$419,J318),"")</f>
        <v/>
      </c>
      <c r="K33" s="176" t="str">
        <f>IFERROR(+J33*H33,"")</f>
        <v/>
      </c>
      <c r="L33" s="185" t="str">
        <f>IF($C33="","","-")</f>
        <v/>
      </c>
      <c r="O33" s="286"/>
    </row>
    <row r="34" spans="2:15" s="2" customFormat="1" ht="15" customHeight="1" x14ac:dyDescent="0.15">
      <c r="B34" s="185" t="str">
        <f>IF($C34="","",2)</f>
        <v/>
      </c>
      <c r="C34" s="757"/>
      <c r="D34" s="773"/>
      <c r="E34" s="773"/>
      <c r="F34" s="773"/>
      <c r="G34" s="785"/>
      <c r="H34" s="174" t="str">
        <f t="shared" si="7"/>
        <v/>
      </c>
      <c r="I34" s="174" t="str">
        <f t="shared" si="8"/>
        <v/>
      </c>
      <c r="J34" s="175" t="str" cm="1">
        <f t="array" ref="J34">IFERROR(_xlfn.IFS(入力シート!$E$1=確認申請料金表データ!A$1,J91,入力シート!$E$1=確認申請料金表データ!A$107,J148,入力シート!$E$1=確認申請料金表データ!A$211,J205,入力シート!$E$1=確認申請料金表データ!A$315,J262,入力シート!$E$1=確認申請料金表データ!A$419,J319),"")</f>
        <v/>
      </c>
      <c r="K34" s="176" t="str">
        <f t="shared" ref="K34:K44" si="9">IFERROR(+J34*H34,"")</f>
        <v/>
      </c>
      <c r="L34" s="185" t="str">
        <f t="shared" ref="L34:L44" si="10">IF($C34="","","-")</f>
        <v/>
      </c>
      <c r="O34" s="286"/>
    </row>
    <row r="35" spans="2:15" s="2" customFormat="1" ht="15" customHeight="1" x14ac:dyDescent="0.15">
      <c r="B35" s="185" t="str">
        <f>IF($C35="","",3)</f>
        <v/>
      </c>
      <c r="C35" s="757"/>
      <c r="D35" s="773"/>
      <c r="E35" s="773"/>
      <c r="F35" s="773"/>
      <c r="G35" s="785"/>
      <c r="H35" s="174" t="str">
        <f t="shared" si="7"/>
        <v/>
      </c>
      <c r="I35" s="174" t="str">
        <f t="shared" si="8"/>
        <v/>
      </c>
      <c r="J35" s="175" t="str" cm="1">
        <f t="array" ref="J35">IFERROR(_xlfn.IFS(入力シート!$E$1=確認申請料金表データ!A$1,J92,入力シート!$E$1=確認申請料金表データ!A$107,J149,入力シート!$E$1=確認申請料金表データ!A$211,J206,入力シート!$E$1=確認申請料金表データ!A$315,J263,入力シート!$E$1=確認申請料金表データ!A$419,J320),"")</f>
        <v/>
      </c>
      <c r="K35" s="176" t="str">
        <f t="shared" si="9"/>
        <v/>
      </c>
      <c r="L35" s="185" t="str">
        <f t="shared" si="10"/>
        <v/>
      </c>
    </row>
    <row r="36" spans="2:15" s="2" customFormat="1" ht="15" customHeight="1" x14ac:dyDescent="0.15">
      <c r="B36" s="185" t="str">
        <f>IF($C36="","",4)</f>
        <v/>
      </c>
      <c r="C36" s="757"/>
      <c r="D36" s="773"/>
      <c r="E36" s="773"/>
      <c r="F36" s="773"/>
      <c r="G36" s="785"/>
      <c r="H36" s="174" t="str">
        <f t="shared" si="7"/>
        <v/>
      </c>
      <c r="I36" s="174" t="str">
        <f t="shared" si="8"/>
        <v/>
      </c>
      <c r="J36" s="175" t="str" cm="1">
        <f t="array" ref="J36">IFERROR(_xlfn.IFS(入力シート!$E$1=確認申請料金表データ!A$1,J93,入力シート!$E$1=確認申請料金表データ!A$107,J150,入力シート!$E$1=確認申請料金表データ!A$211,J207,入力シート!$E$1=確認申請料金表データ!A$315,J264,入力シート!$E$1=確認申請料金表データ!A$419,J321),"")</f>
        <v/>
      </c>
      <c r="K36" s="176" t="str">
        <f t="shared" si="9"/>
        <v/>
      </c>
      <c r="L36" s="185" t="str">
        <f t="shared" si="10"/>
        <v/>
      </c>
    </row>
    <row r="37" spans="2:15" s="2" customFormat="1" ht="15" customHeight="1" x14ac:dyDescent="0.15">
      <c r="B37" s="185" t="str">
        <f>IF($C37="","",5)</f>
        <v/>
      </c>
      <c r="C37" s="743" t="str">
        <f>IF(入力シート!F28="","",確認申請料金表データ!AK3)</f>
        <v/>
      </c>
      <c r="D37" s="744"/>
      <c r="E37" s="744"/>
      <c r="F37" s="744"/>
      <c r="G37" s="745"/>
      <c r="H37" s="174" t="str">
        <f>IF($C37="","",SUM(入力シート!F28-1))</f>
        <v/>
      </c>
      <c r="I37" s="174" t="str">
        <f>IF($C37="","","棟")</f>
        <v/>
      </c>
      <c r="J37" s="175" t="str" cm="1">
        <f t="array" ref="J37">IFERROR(_xlfn.IFS(入力シート!$E$1=確認申請料金表データ!A$1,J94,入力シート!$E$1=確認申請料金表データ!A$107,J151,入力シート!$E$1=確認申請料金表データ!A$211,J208,入力シート!$E$1=確認申請料金表データ!A$315,J265,入力シート!$E$1=確認申請料金表データ!A$419,J322),"")</f>
        <v/>
      </c>
      <c r="K37" s="176" t="str">
        <f t="shared" si="9"/>
        <v/>
      </c>
      <c r="L37" s="185" t="str">
        <f t="shared" si="10"/>
        <v/>
      </c>
    </row>
    <row r="38" spans="2:15" s="2" customFormat="1" ht="15" customHeight="1" x14ac:dyDescent="0.15">
      <c r="B38" s="185" t="str">
        <f>IF($C38="","",6)</f>
        <v/>
      </c>
      <c r="C38" s="743" t="str">
        <f>IF(入力シート!H28="","",確認申請料金表データ!AL3)</f>
        <v/>
      </c>
      <c r="D38" s="744"/>
      <c r="E38" s="744"/>
      <c r="F38" s="744"/>
      <c r="G38" s="745"/>
      <c r="H38" s="174" t="str">
        <f>IF($C38="","",入力シート!H28)</f>
        <v/>
      </c>
      <c r="I38" s="174" t="str">
        <f t="shared" ref="I38:I40" si="11">IF($C38="","","棟")</f>
        <v/>
      </c>
      <c r="J38" s="175" t="str" cm="1">
        <f t="array" ref="J38">IFERROR(_xlfn.IFS(入力シート!$E$1=確認申請料金表データ!A$1,J95,入力シート!$E$1=確認申請料金表データ!A$107,J152,入力シート!$E$1=確認申請料金表データ!A$211,J209,入力シート!$E$1=確認申請料金表データ!A$315,J266,入力シート!$E$1=確認申請料金表データ!A$419,J323),"")</f>
        <v/>
      </c>
      <c r="K38" s="176" t="str">
        <f>IFERROR(+J38*H38,"")</f>
        <v/>
      </c>
      <c r="L38" s="185" t="str">
        <f t="shared" si="10"/>
        <v/>
      </c>
    </row>
    <row r="39" spans="2:15" s="2" customFormat="1" ht="15" customHeight="1" x14ac:dyDescent="0.15">
      <c r="B39" s="185" t="str">
        <f>IF($C39="","",7)</f>
        <v/>
      </c>
      <c r="C39" s="743" t="str">
        <f>IF(入力シート!F30="","",確認申請料金表データ!AM3)</f>
        <v/>
      </c>
      <c r="D39" s="744"/>
      <c r="E39" s="744"/>
      <c r="F39" s="744"/>
      <c r="G39" s="745"/>
      <c r="H39" s="174" t="str">
        <f>IF($C39="","",入力シート!F30)</f>
        <v/>
      </c>
      <c r="I39" s="174" t="str">
        <f t="shared" si="11"/>
        <v/>
      </c>
      <c r="J39" s="175" t="str" cm="1">
        <f t="array" ref="J39">IFERROR(_xlfn.IFS(入力シート!$E$1=確認申請料金表データ!A$1,J96,入力シート!$E$1=確認申請料金表データ!A$107,J153,入力シート!$E$1=確認申請料金表データ!A$211,J210,入力シート!$E$1=確認申請料金表データ!A$315,J267,入力シート!$E$1=確認申請料金表データ!A$419,J324),"")</f>
        <v/>
      </c>
      <c r="K39" s="176" t="str">
        <f>IFERROR(+J39*H39,"")</f>
        <v/>
      </c>
      <c r="L39" s="185" t="str">
        <f t="shared" si="10"/>
        <v/>
      </c>
    </row>
    <row r="40" spans="2:15" s="2" customFormat="1" ht="15" customHeight="1" x14ac:dyDescent="0.15">
      <c r="B40" s="185" t="str">
        <f>IF($C40="","",8)</f>
        <v/>
      </c>
      <c r="C40" s="743" t="str">
        <f>IF(入力シート!H30="","",確認申請料金表データ!AN3)</f>
        <v/>
      </c>
      <c r="D40" s="744"/>
      <c r="E40" s="744"/>
      <c r="F40" s="744"/>
      <c r="G40" s="745"/>
      <c r="H40" s="174" t="str">
        <f>IF($C40="","",入力シート!H30)</f>
        <v/>
      </c>
      <c r="I40" s="174" t="str">
        <f t="shared" si="11"/>
        <v/>
      </c>
      <c r="J40" s="175" t="str" cm="1">
        <f t="array" ref="J40">IFERROR(_xlfn.IFS(入力シート!$E$1=確認申請料金表データ!A$1,J97,入力シート!$E$1=確認申請料金表データ!A$107,J154,入力シート!$E$1=確認申請料金表データ!A$211,J211,入力シート!$E$1=確認申請料金表データ!A$315,J268,入力シート!$E$1=確認申請料金表データ!A$419,J325),"")</f>
        <v/>
      </c>
      <c r="K40" s="176" t="str">
        <f t="shared" si="9"/>
        <v/>
      </c>
      <c r="L40" s="185" t="str">
        <f t="shared" si="10"/>
        <v/>
      </c>
    </row>
    <row r="41" spans="2:15" s="2" customFormat="1" ht="15" customHeight="1" x14ac:dyDescent="0.15">
      <c r="B41" s="186"/>
      <c r="C41" s="7"/>
      <c r="D41" s="459"/>
      <c r="E41" s="459"/>
      <c r="F41" s="459"/>
      <c r="G41" s="460"/>
      <c r="H41" s="4"/>
      <c r="I41" s="4"/>
      <c r="J41" s="156"/>
      <c r="K41" s="24"/>
      <c r="L41" s="186"/>
      <c r="N41" s="2" t="s">
        <v>182</v>
      </c>
      <c r="O41" s="270" t="s">
        <v>716</v>
      </c>
    </row>
    <row r="42" spans="2:15" s="2" customFormat="1" ht="15" customHeight="1" x14ac:dyDescent="0.15">
      <c r="B42" s="335" t="s">
        <v>13</v>
      </c>
      <c r="C42" s="225" t="s">
        <v>125</v>
      </c>
      <c r="D42" s="188"/>
      <c r="E42" s="31"/>
      <c r="F42" s="31"/>
      <c r="G42" s="31"/>
      <c r="H42" s="4"/>
      <c r="I42" s="4"/>
      <c r="J42" s="156"/>
      <c r="K42" s="24"/>
      <c r="L42" s="186"/>
    </row>
    <row r="43" spans="2:15" s="2" customFormat="1" ht="15" customHeight="1" x14ac:dyDescent="0.15">
      <c r="B43" s="185" t="str">
        <f t="shared" ref="B43:B44" si="12">IF($C43="","","・")</f>
        <v/>
      </c>
      <c r="C43" s="757"/>
      <c r="D43" s="773"/>
      <c r="E43" s="773"/>
      <c r="F43" s="773"/>
      <c r="G43" s="785"/>
      <c r="H43" s="174" t="str">
        <f t="shared" ref="H43" si="13">IF($C43="","",1)</f>
        <v/>
      </c>
      <c r="I43" s="174" t="str">
        <f t="shared" ref="I43" si="14">IF($C43="","","式")</f>
        <v/>
      </c>
      <c r="J43" s="175" t="str" cm="1">
        <f t="array" ref="J43">IFERROR(_xlfn.IFS(入力シート!$E$1=確認申請料金表データ!A$1,J100,入力シート!$E$1=確認申請料金表データ!A$107,J157,入力シート!$E$1=確認申請料金表データ!A$211,J214,入力シート!$E$1=確認申請料金表データ!A$315,J271,入力シート!$E$1=確認申請料金表データ!A$419,J328),"")</f>
        <v/>
      </c>
      <c r="K43" s="176" t="str">
        <f t="shared" si="9"/>
        <v/>
      </c>
      <c r="L43" s="185" t="str">
        <f t="shared" si="10"/>
        <v/>
      </c>
    </row>
    <row r="44" spans="2:15" s="2" customFormat="1" ht="15" customHeight="1" x14ac:dyDescent="0.15">
      <c r="B44" s="185" t="str">
        <f t="shared" si="12"/>
        <v/>
      </c>
      <c r="C44" s="743" t="str" cm="1">
        <f t="array" ref="C44">+_xlfn.IFS(C43=確認申請料金表データ!S3,"",C43=確認申請料金表データ!T3,確認申請料金表データ!V109,C43="","")</f>
        <v/>
      </c>
      <c r="D44" s="744"/>
      <c r="E44" s="744"/>
      <c r="F44" s="744"/>
      <c r="G44" s="745"/>
      <c r="H44" s="174" t="str">
        <f>+IF(C44="","",$K$15)</f>
        <v/>
      </c>
      <c r="I44" s="174" t="str">
        <f>IF($C44="","","戸")</f>
        <v/>
      </c>
      <c r="J44" s="175" t="str" cm="1">
        <f t="array" ref="J44">IFERROR(_xlfn.IFS(入力シート!$E$1=確認申請料金表データ!A$1,J101,入力シート!$E$1=確認申請料金表データ!A$107,J158,入力シート!$E$1=確認申請料金表データ!A$211,J215,入力シート!$E$1=確認申請料金表データ!A$315,J272,入力シート!$E$1=確認申請料金表データ!A$419,J329),"")</f>
        <v/>
      </c>
      <c r="K44" s="176" t="str">
        <f t="shared" si="9"/>
        <v/>
      </c>
      <c r="L44" s="185" t="str">
        <f t="shared" si="10"/>
        <v/>
      </c>
    </row>
    <row r="45" spans="2:15" s="2" customFormat="1" ht="15" customHeight="1" x14ac:dyDescent="0.15">
      <c r="B45" s="334"/>
      <c r="C45" s="7"/>
      <c r="D45" s="12"/>
      <c r="E45" s="31"/>
      <c r="F45" s="31"/>
      <c r="G45" s="31"/>
      <c r="H45" s="4"/>
      <c r="I45" s="4"/>
      <c r="J45" s="156"/>
      <c r="K45" s="24"/>
      <c r="L45" s="186"/>
    </row>
    <row r="46" spans="2:15" s="2" customFormat="1" ht="15" customHeight="1" x14ac:dyDescent="0.15">
      <c r="B46" s="336"/>
      <c r="C46" s="14"/>
      <c r="D46" s="14"/>
      <c r="E46" s="14"/>
      <c r="F46" s="14"/>
      <c r="G46" s="14"/>
      <c r="H46" s="227" t="s">
        <v>21</v>
      </c>
      <c r="I46" s="228"/>
      <c r="J46" s="228"/>
      <c r="K46" s="180">
        <f>SUM(K18:K44)</f>
        <v>45000</v>
      </c>
      <c r="L46" s="305" t="s">
        <v>1</v>
      </c>
      <c r="M46" s="158"/>
    </row>
    <row r="47" spans="2:15" s="2" customFormat="1" ht="15" customHeight="1" x14ac:dyDescent="0.15">
      <c r="B47" s="232" t="s">
        <v>13</v>
      </c>
      <c r="C47" s="230" t="s">
        <v>128</v>
      </c>
      <c r="D47" s="231"/>
      <c r="E47" s="231"/>
      <c r="F47" s="231"/>
      <c r="G47" s="231"/>
      <c r="H47" s="229"/>
      <c r="I47" s="232"/>
      <c r="J47" s="233"/>
      <c r="K47" s="233"/>
      <c r="L47" s="232"/>
      <c r="M47" s="158"/>
    </row>
    <row r="48" spans="2:15" s="2" customFormat="1" ht="15" customHeight="1" x14ac:dyDescent="0.15">
      <c r="B48" s="185"/>
      <c r="C48" s="235" t="s">
        <v>127</v>
      </c>
      <c r="D48" s="790" t="str">
        <f>IF(D15="","",基本入力データシート!N3)</f>
        <v>東京都</v>
      </c>
      <c r="E48" s="744"/>
      <c r="F48" s="744"/>
      <c r="G48" s="745"/>
      <c r="H48" s="341" cm="1">
        <f t="array" ref="H48">+_xlfn.IFS(C$19="",1,C$20="",2,C$21="",3,C$22="",4,C$23="",5,C$24="",6,C$25="",7,C$26="",8,C$27="",9,C$28="",10,C$28&lt;&gt;"",11)</f>
        <v>1</v>
      </c>
      <c r="I48" s="169" t="s">
        <v>15</v>
      </c>
      <c r="J48" s="268">
        <f>IFERROR(_xlfn.XLOOKUP(基本入力データシート!N3,基本入力データシート!J3:J227,基本入力データシート!K3:K227),"")</f>
        <v>2200</v>
      </c>
      <c r="K48" s="170">
        <f>+H48*J48</f>
        <v>2200</v>
      </c>
      <c r="L48" s="185" t="s">
        <v>14</v>
      </c>
      <c r="N48" s="2" t="s">
        <v>182</v>
      </c>
      <c r="O48" s="270" t="s">
        <v>1170</v>
      </c>
    </row>
    <row r="49" spans="2:27" s="2" customFormat="1" ht="15" customHeight="1" x14ac:dyDescent="0.15">
      <c r="B49" s="305"/>
      <c r="C49" s="236"/>
      <c r="D49" s="236"/>
      <c r="E49" s="236"/>
      <c r="F49" s="236"/>
      <c r="G49" s="236"/>
      <c r="H49" s="228" t="s">
        <v>21</v>
      </c>
      <c r="I49" s="228"/>
      <c r="J49" s="234"/>
      <c r="K49" s="194">
        <f>SUM(K48:K48)</f>
        <v>2200</v>
      </c>
      <c r="L49" s="305" t="s">
        <v>1</v>
      </c>
    </row>
    <row r="50" spans="2:27" s="2" customFormat="1" ht="15" customHeight="1" thickBot="1" x14ac:dyDescent="0.2">
      <c r="C50" s="2" t="s">
        <v>91</v>
      </c>
      <c r="H50" s="758" t="s">
        <v>2</v>
      </c>
      <c r="I50" s="758"/>
      <c r="J50" s="758"/>
      <c r="K50" s="195">
        <f>K46+K49</f>
        <v>47200</v>
      </c>
      <c r="L50" s="306" t="s">
        <v>1</v>
      </c>
    </row>
    <row r="51" spans="2:27" s="2" customFormat="1" ht="15" customHeight="1" thickTop="1" x14ac:dyDescent="0.15">
      <c r="B51" s="11"/>
      <c r="C51" s="16" t="s">
        <v>19</v>
      </c>
      <c r="I51" s="8"/>
      <c r="J51" s="8"/>
      <c r="K51" s="27"/>
      <c r="L51" s="16"/>
    </row>
    <row r="52" spans="2:27" s="2" customFormat="1" ht="15" customHeight="1" x14ac:dyDescent="0.15">
      <c r="C52" s="16" t="s">
        <v>22</v>
      </c>
    </row>
    <row r="53" spans="2:27" s="2" customFormat="1" ht="15" customHeight="1" x14ac:dyDescent="0.15">
      <c r="C53" s="16" t="s">
        <v>16</v>
      </c>
    </row>
    <row r="54" spans="2:27" s="2" customFormat="1" ht="15" customHeight="1" x14ac:dyDescent="0.15">
      <c r="C54" s="16" t="s">
        <v>20</v>
      </c>
    </row>
    <row r="55" spans="2:27" s="2" customFormat="1" ht="15" customHeight="1" x14ac:dyDescent="0.15">
      <c r="C55" s="16" t="s">
        <v>18</v>
      </c>
    </row>
    <row r="56" spans="2:27" s="2" customFormat="1" ht="15" customHeight="1" x14ac:dyDescent="0.15">
      <c r="C56" s="16"/>
      <c r="D56" s="1"/>
    </row>
    <row r="57" spans="2:27" ht="19.5" customHeight="1" x14ac:dyDescent="0.15">
      <c r="L57" s="30" t="s">
        <v>32</v>
      </c>
      <c r="N57" s="307"/>
      <c r="O57" s="307"/>
    </row>
    <row r="58" spans="2:27" s="392" customFormat="1" ht="19.5" customHeight="1" x14ac:dyDescent="0.15">
      <c r="B58" s="388" t="s">
        <v>29</v>
      </c>
      <c r="C58" s="389"/>
      <c r="D58" s="388"/>
      <c r="E58" s="390"/>
      <c r="F58" s="390"/>
      <c r="G58" s="390"/>
      <c r="H58" s="389"/>
      <c r="I58" s="389"/>
      <c r="J58" s="389"/>
      <c r="K58" s="389"/>
      <c r="L58" s="391" t="str">
        <f>+確認申請料金表データ!A1</f>
        <v>1.確認検査基本手数料(通常料金)</v>
      </c>
      <c r="O58" s="393"/>
      <c r="P58" s="394"/>
      <c r="Q58" s="394"/>
      <c r="R58" s="394"/>
      <c r="S58" s="394"/>
      <c r="T58" s="393"/>
      <c r="U58" s="394"/>
      <c r="V58" s="394"/>
      <c r="W58" s="394"/>
      <c r="X58" s="394"/>
      <c r="Y58" s="394"/>
      <c r="Z58" s="394"/>
      <c r="AA58" s="394"/>
    </row>
    <row r="59" spans="2:27" s="392" customFormat="1" ht="15" customHeight="1" x14ac:dyDescent="0.15">
      <c r="E59" s="395"/>
      <c r="F59" s="395"/>
      <c r="G59" s="395"/>
      <c r="H59" s="395"/>
      <c r="I59" s="395"/>
      <c r="J59" s="762">
        <f ca="1">TODAY()</f>
        <v>45848</v>
      </c>
      <c r="K59" s="762"/>
      <c r="L59" s="395"/>
    </row>
    <row r="60" spans="2:27" s="392" customFormat="1" ht="15" customHeight="1" x14ac:dyDescent="0.15">
      <c r="E60" s="395"/>
      <c r="F60" s="395"/>
      <c r="G60" s="395"/>
      <c r="H60" s="395"/>
      <c r="I60" s="395"/>
      <c r="J60" s="396"/>
      <c r="K60" s="396"/>
      <c r="L60" s="395"/>
    </row>
    <row r="61" spans="2:27" s="392" customFormat="1" ht="15" customHeight="1" x14ac:dyDescent="0.15">
      <c r="C61" s="759" t="str">
        <f>+入力シート!$E$9&amp;"　　"&amp;入力シート!$G$9</f>
        <v>　　御中</v>
      </c>
      <c r="D61" s="791"/>
    </row>
    <row r="62" spans="2:27" s="392" customFormat="1" ht="15" customHeight="1" x14ac:dyDescent="0.15">
      <c r="C62" s="397" t="str">
        <f t="shared" ref="C62:C70" si="15">+IF(C5="","",C5)</f>
        <v/>
      </c>
    </row>
    <row r="63" spans="2:27" s="392" customFormat="1" ht="15" customHeight="1" x14ac:dyDescent="0.15">
      <c r="C63" s="392" t="str">
        <f t="shared" si="15"/>
        <v/>
      </c>
      <c r="H63" s="398" t="str">
        <f>+IF(H6="","",H6)</f>
        <v>〒150-0002  東京都渋谷区渋谷1-13-9</v>
      </c>
      <c r="I63" s="399"/>
    </row>
    <row r="64" spans="2:27" s="392" customFormat="1" ht="15" customHeight="1" x14ac:dyDescent="0.15">
      <c r="B64" s="392" t="str">
        <f t="shared" ref="B64:B72" si="16">+IF(B7="","",B7)</f>
        <v/>
      </c>
      <c r="C64" s="392" t="str">
        <f t="shared" si="15"/>
        <v/>
      </c>
      <c r="E64" s="392" t="str">
        <f t="shared" ref="E64:G74" si="17">+IF(E7="","",E7)</f>
        <v/>
      </c>
      <c r="F64" s="392" t="str">
        <f t="shared" si="17"/>
        <v/>
      </c>
      <c r="G64" s="392" t="str">
        <f t="shared" si="17"/>
        <v/>
      </c>
      <c r="H64" s="392" t="str">
        <f>+IF(H7="","",H7)</f>
        <v>株式会社 J 建築検査センター</v>
      </c>
      <c r="I64" s="400"/>
      <c r="L64" s="401"/>
      <c r="M64" s="401"/>
    </row>
    <row r="65" spans="2:15" s="392" customFormat="1" ht="15" customHeight="1" x14ac:dyDescent="0.15">
      <c r="B65" s="392" t="str">
        <f t="shared" si="16"/>
        <v/>
      </c>
      <c r="C65" s="392" t="str">
        <f t="shared" si="15"/>
        <v/>
      </c>
      <c r="E65" s="392" t="str">
        <f t="shared" si="17"/>
        <v/>
      </c>
      <c r="F65" s="392" t="str">
        <f t="shared" si="17"/>
        <v/>
      </c>
      <c r="G65" s="392" t="str">
        <f t="shared" si="17"/>
        <v/>
      </c>
      <c r="H65" s="398" t="str">
        <f>+IF(H8="","",H8)</f>
        <v>TEL:03-5464-7778　FAX:03-5464-7779</v>
      </c>
      <c r="I65" s="400"/>
      <c r="M65" s="392" t="str">
        <f>+IF(M8="","",M8)</f>
        <v/>
      </c>
    </row>
    <row r="66" spans="2:15" s="392" customFormat="1" ht="15" customHeight="1" x14ac:dyDescent="0.15">
      <c r="B66" s="392" t="str">
        <f t="shared" si="16"/>
        <v/>
      </c>
      <c r="C66" s="402" t="str">
        <f t="shared" si="15"/>
        <v>下記の通り、お見積申し上げます。</v>
      </c>
      <c r="E66" s="392" t="str">
        <f t="shared" si="17"/>
        <v/>
      </c>
      <c r="F66" s="392" t="str">
        <f t="shared" si="17"/>
        <v/>
      </c>
      <c r="G66" s="392" t="str">
        <f t="shared" si="17"/>
        <v/>
      </c>
      <c r="I66" s="400"/>
      <c r="M66" s="392" t="str">
        <f>+IF(M9="","",M9)</f>
        <v/>
      </c>
    </row>
    <row r="67" spans="2:15" s="392" customFormat="1" ht="11.25" customHeight="1" x14ac:dyDescent="0.15">
      <c r="B67" s="392" t="str">
        <f t="shared" si="16"/>
        <v/>
      </c>
      <c r="C67" s="403" t="str">
        <f t="shared" si="15"/>
        <v/>
      </c>
      <c r="D67" s="403"/>
      <c r="E67" s="403" t="str">
        <f t="shared" si="17"/>
        <v/>
      </c>
      <c r="F67" s="403" t="str">
        <f t="shared" si="17"/>
        <v/>
      </c>
      <c r="G67" s="403" t="str">
        <f t="shared" si="17"/>
        <v/>
      </c>
      <c r="H67" s="403"/>
      <c r="I67" s="403"/>
      <c r="J67" s="403"/>
      <c r="K67" s="403"/>
    </row>
    <row r="68" spans="2:15" s="394" customFormat="1" ht="24" customHeight="1" x14ac:dyDescent="0.15">
      <c r="B68" s="394" t="str">
        <f t="shared" si="16"/>
        <v/>
      </c>
      <c r="C68" s="404" t="str">
        <f t="shared" si="15"/>
        <v>件       名</v>
      </c>
      <c r="D68" s="764">
        <f>+IF(D11="","",D11)</f>
        <v>0</v>
      </c>
      <c r="E68" s="788" t="str">
        <f t="shared" si="17"/>
        <v/>
      </c>
      <c r="F68" s="788" t="str">
        <f t="shared" si="17"/>
        <v/>
      </c>
      <c r="G68" s="788" t="str">
        <f t="shared" si="17"/>
        <v/>
      </c>
      <c r="H68" s="788" t="str">
        <f t="shared" ref="H68:L71" si="18">+IF(H11="","",H11)</f>
        <v/>
      </c>
      <c r="I68" s="788" t="str">
        <f t="shared" si="18"/>
        <v/>
      </c>
      <c r="J68" s="788" t="str">
        <f t="shared" si="18"/>
        <v/>
      </c>
      <c r="K68" s="788" t="str">
        <f t="shared" si="18"/>
        <v/>
      </c>
      <c r="L68" s="394" t="str">
        <f t="shared" si="18"/>
        <v/>
      </c>
    </row>
    <row r="69" spans="2:15" s="394" customFormat="1" ht="24" customHeight="1" x14ac:dyDescent="0.15">
      <c r="B69" s="394" t="str">
        <f t="shared" si="16"/>
        <v/>
      </c>
      <c r="C69" s="405" t="str">
        <f t="shared" si="15"/>
        <v>総　　　額</v>
      </c>
      <c r="D69" s="406">
        <f>+K107</f>
        <v>47200</v>
      </c>
      <c r="E69" s="407" t="str">
        <f t="shared" si="17"/>
        <v>-</v>
      </c>
      <c r="F69" s="407" t="str">
        <f t="shared" si="17"/>
        <v/>
      </c>
      <c r="G69" s="407" t="str">
        <f t="shared" si="17"/>
        <v/>
      </c>
      <c r="H69" s="407" t="str">
        <f t="shared" si="18"/>
        <v/>
      </c>
      <c r="I69" s="408" t="str">
        <f t="shared" si="18"/>
        <v/>
      </c>
      <c r="J69" s="408" t="str">
        <f t="shared" si="18"/>
        <v/>
      </c>
      <c r="K69" s="408" t="str">
        <f t="shared" si="18"/>
        <v/>
      </c>
      <c r="L69" s="394" t="str">
        <f t="shared" si="18"/>
        <v/>
      </c>
    </row>
    <row r="70" spans="2:15" s="398" customFormat="1" ht="15" customHeight="1" x14ac:dyDescent="0.15">
      <c r="B70" s="409" t="str">
        <f t="shared" si="16"/>
        <v/>
      </c>
      <c r="C70" s="410" t="str">
        <f t="shared" si="15"/>
        <v>御見積書有効期限：</v>
      </c>
      <c r="D70" s="411" t="str">
        <f>+IF(D13="","",D13)</f>
        <v>1ヶ月</v>
      </c>
      <c r="E70" s="412" t="str">
        <f t="shared" si="17"/>
        <v>御支払条件：</v>
      </c>
      <c r="F70" s="410" t="str">
        <f t="shared" si="17"/>
        <v/>
      </c>
      <c r="G70" s="763" t="str">
        <f t="shared" si="17"/>
        <v/>
      </c>
      <c r="H70" s="789" t="str">
        <f t="shared" si="18"/>
        <v/>
      </c>
      <c r="I70" s="789" t="str">
        <f t="shared" si="18"/>
        <v/>
      </c>
      <c r="J70" s="789" t="str">
        <f t="shared" si="18"/>
        <v/>
      </c>
      <c r="K70" s="789" t="str">
        <f t="shared" si="18"/>
        <v/>
      </c>
      <c r="L70" s="398" t="str">
        <f t="shared" si="18"/>
        <v/>
      </c>
      <c r="M70" s="398" t="str">
        <f>+IF(M13="","",M13)</f>
        <v/>
      </c>
      <c r="O70" s="394"/>
    </row>
    <row r="71" spans="2:15" s="398" customFormat="1" ht="15" customHeight="1" x14ac:dyDescent="0.15">
      <c r="B71" s="760" t="str">
        <f t="shared" si="16"/>
        <v>品    名　・　摘    要</v>
      </c>
      <c r="C71" s="760"/>
      <c r="D71" s="760" t="str">
        <f>+IF(D14="","",D14)</f>
        <v/>
      </c>
      <c r="E71" s="760" t="str">
        <f t="shared" si="17"/>
        <v/>
      </c>
      <c r="F71" s="760" t="str">
        <f t="shared" si="17"/>
        <v/>
      </c>
      <c r="G71" s="760" t="str">
        <f t="shared" si="17"/>
        <v/>
      </c>
      <c r="H71" s="413" t="str">
        <f t="shared" si="18"/>
        <v>数  量</v>
      </c>
      <c r="I71" s="414" t="str">
        <f t="shared" si="18"/>
        <v>単位</v>
      </c>
      <c r="J71" s="415" t="str">
        <f t="shared" si="18"/>
        <v>単     価</v>
      </c>
      <c r="K71" s="761" t="str">
        <f t="shared" si="18"/>
        <v>金        額</v>
      </c>
      <c r="L71" s="760" t="str">
        <f t="shared" si="18"/>
        <v/>
      </c>
      <c r="M71" s="398" t="str">
        <f>+IF(M14="","",M14)</f>
        <v/>
      </c>
      <c r="O71" s="394"/>
    </row>
    <row r="72" spans="2:15" s="398" customFormat="1" ht="15" customHeight="1" x14ac:dyDescent="0.15">
      <c r="B72" s="416" t="str">
        <f t="shared" si="16"/>
        <v/>
      </c>
      <c r="C72" s="417" t="str">
        <f>+IF(C15="","",C15)</f>
        <v>'地名・地番:</v>
      </c>
      <c r="D72" s="786" t="str">
        <f>+IF(D15="","",D15)</f>
        <v>東京都</v>
      </c>
      <c r="E72" s="787" t="str">
        <f t="shared" si="17"/>
        <v/>
      </c>
      <c r="F72" s="787" t="str">
        <f t="shared" si="17"/>
        <v/>
      </c>
      <c r="G72" s="787" t="str">
        <f t="shared" si="17"/>
        <v/>
      </c>
      <c r="H72" s="418" t="e">
        <f>+IF(#REF!="","",#REF!)</f>
        <v>#REF!</v>
      </c>
      <c r="I72" s="418"/>
      <c r="J72" s="419" t="str">
        <f>+IF(H15="","",H15)</f>
        <v>一戸建ての住宅</v>
      </c>
      <c r="K72" s="420" t="str">
        <f>+IF(K15="","",K15)</f>
        <v/>
      </c>
      <c r="L72" s="420" t="str">
        <f>+IF(L15="","",L15)</f>
        <v/>
      </c>
      <c r="O72" s="394"/>
    </row>
    <row r="73" spans="2:15" s="398" customFormat="1" ht="15" customHeight="1" x14ac:dyDescent="0.15">
      <c r="B73" s="421" t="str">
        <f>+IF(B19="","",B19)</f>
        <v/>
      </c>
      <c r="C73" s="419" t="str">
        <f>+IF(C16="","",C16)</f>
        <v>構造・規模:</v>
      </c>
      <c r="D73" s="419" t="str">
        <f>+IF(D16="","",D16)</f>
        <v>木造</v>
      </c>
      <c r="E73" s="419" t="str">
        <f t="shared" si="17"/>
        <v>：地上</v>
      </c>
      <c r="F73" s="419">
        <f t="shared" si="17"/>
        <v>2</v>
      </c>
      <c r="G73" s="419" t="str">
        <f t="shared" si="17"/>
        <v>階、地下</v>
      </c>
      <c r="H73" s="419" t="str">
        <f>+IF(H16="","",H16)</f>
        <v>-</v>
      </c>
      <c r="I73" s="419" t="str">
        <f>+IF(I16="","",I16)</f>
        <v>階</v>
      </c>
      <c r="J73" s="419" t="str">
        <f>+IF(J16="","",J16)</f>
        <v>：延べ面積</v>
      </c>
      <c r="K73" s="419" t="str">
        <f>+IF(K16="","",K16)</f>
        <v>0-100㎡以内(3号)</v>
      </c>
      <c r="L73" s="422" t="str">
        <f>+IF(L16="","",L16)</f>
        <v/>
      </c>
      <c r="O73" s="394"/>
    </row>
    <row r="74" spans="2:15" s="398" customFormat="1" ht="15" customHeight="1" x14ac:dyDescent="0.15">
      <c r="B74" s="423" t="str">
        <f>+IF(B17="","",B17)</f>
        <v>■</v>
      </c>
      <c r="C74" s="423" t="str">
        <f>+IF(C17="","",C17)</f>
        <v>確認申請業務【非課税】</v>
      </c>
      <c r="D74" s="423" t="str">
        <f>+IF(D17="","",D17)</f>
        <v/>
      </c>
      <c r="E74" s="423" t="str">
        <f t="shared" si="17"/>
        <v/>
      </c>
      <c r="F74" s="423" t="str">
        <f t="shared" si="17"/>
        <v/>
      </c>
      <c r="G74" s="423" t="str">
        <f t="shared" si="17"/>
        <v/>
      </c>
      <c r="H74" s="423" t="str">
        <f t="shared" ref="H74:I76" si="19">+IF(H17="","",H17)</f>
        <v/>
      </c>
      <c r="I74" s="423" t="str">
        <f t="shared" si="19"/>
        <v/>
      </c>
      <c r="J74" s="424"/>
      <c r="K74" s="425"/>
      <c r="L74" s="422" t="str">
        <f>+IF(L17="","",L17)</f>
        <v/>
      </c>
    </row>
    <row r="75" spans="2:15" s="398" customFormat="1" ht="15" customHeight="1" x14ac:dyDescent="0.15">
      <c r="B75" s="423" t="str">
        <f>+IF(B18="","",B18)</f>
        <v>・</v>
      </c>
      <c r="C75" s="423" t="str">
        <f>+IF(C18="","",C18)</f>
        <v>確認申請(計画通知)基本手数料</v>
      </c>
      <c r="D75" s="426"/>
      <c r="E75" s="427"/>
      <c r="F75" s="427"/>
      <c r="G75" s="427"/>
      <c r="H75" s="428">
        <f t="shared" si="19"/>
        <v>1</v>
      </c>
      <c r="I75" s="428" t="str">
        <f t="shared" si="19"/>
        <v>式</v>
      </c>
      <c r="J75" s="424">
        <f>IFERROR(INDEX(確認申請料金表データ!C$4:Q$33,MATCH($K$16,確認申請料金表データ!B$4:B$33,0),MATCH($C75,確認申請料金表データ!C$3:Q$3,0)),"")</f>
        <v>45000</v>
      </c>
      <c r="K75" s="425">
        <f>IFERROR(+J75*H75,"")</f>
        <v>45000</v>
      </c>
      <c r="L75" s="422" t="str">
        <f>+IF(L18="","",L18)</f>
        <v>-</v>
      </c>
    </row>
    <row r="76" spans="2:15" s="398" customFormat="1" ht="15" customHeight="1" x14ac:dyDescent="0.15">
      <c r="B76" s="423" t="str">
        <f>+IF(B19="","",B19)</f>
        <v/>
      </c>
      <c r="C76" s="423" t="str">
        <f>+IF(C19="","",C19)</f>
        <v/>
      </c>
      <c r="D76" s="426"/>
      <c r="E76" s="423" t="str">
        <f>+IF(E19="","",E19)</f>
        <v/>
      </c>
      <c r="F76" s="427"/>
      <c r="G76" s="427"/>
      <c r="H76" s="428" t="str">
        <f t="shared" si="19"/>
        <v/>
      </c>
      <c r="I76" s="428" t="str">
        <f t="shared" si="19"/>
        <v/>
      </c>
      <c r="J76" s="424" t="str">
        <f>IFERROR(INDEX(確認申請料金表データ!C$4:Q$33,MATCH(E76,確認申請料金表データ!B$4:B$33,0),MATCH(C76,確認申請料金表データ!C$3:Q$3,0)),"")</f>
        <v/>
      </c>
      <c r="K76" s="425" t="str">
        <f>IFERROR(+J76*H76,"")</f>
        <v/>
      </c>
      <c r="L76" s="422" t="str">
        <f>+IF(L19="","",L19)</f>
        <v/>
      </c>
    </row>
    <row r="77" spans="2:15" s="398" customFormat="1" ht="15" customHeight="1" x14ac:dyDescent="0.15">
      <c r="B77" s="423" t="str">
        <f t="shared" ref="B77:C77" si="20">+IF(B20="","",B20)</f>
        <v/>
      </c>
      <c r="C77" s="423" t="str">
        <f t="shared" si="20"/>
        <v/>
      </c>
      <c r="D77" s="426"/>
      <c r="E77" s="423" t="str">
        <f t="shared" ref="E77:E85" si="21">+IF(E20="","",E20)</f>
        <v/>
      </c>
      <c r="F77" s="427"/>
      <c r="G77" s="427"/>
      <c r="H77" s="428" t="str">
        <f t="shared" ref="H77:I77" si="22">+IF(H20="","",H20)</f>
        <v/>
      </c>
      <c r="I77" s="428" t="str">
        <f t="shared" si="22"/>
        <v/>
      </c>
      <c r="J77" s="424" t="str">
        <f>IFERROR(INDEX(確認申請料金表データ!C$4:Q$33,MATCH(E77,確認申請料金表データ!B$4:B$33,0),MATCH(C77,確認申請料金表データ!C$3:Q$3,0)),"")</f>
        <v/>
      </c>
      <c r="K77" s="425" t="str">
        <f t="shared" ref="K77:K85" si="23">IFERROR(+J77*H77,"")</f>
        <v/>
      </c>
      <c r="L77" s="422" t="str">
        <f t="shared" ref="L77:L85" si="24">+IF(L20="","",L20)</f>
        <v/>
      </c>
      <c r="O77" s="429"/>
    </row>
    <row r="78" spans="2:15" s="398" customFormat="1" ht="15" customHeight="1" x14ac:dyDescent="0.15">
      <c r="B78" s="423" t="str">
        <f t="shared" ref="B78:C78" si="25">+IF(B21="","",B21)</f>
        <v/>
      </c>
      <c r="C78" s="423" t="str">
        <f t="shared" si="25"/>
        <v/>
      </c>
      <c r="D78" s="426"/>
      <c r="E78" s="423" t="str">
        <f t="shared" si="21"/>
        <v/>
      </c>
      <c r="F78" s="427"/>
      <c r="G78" s="427"/>
      <c r="H78" s="428" t="str">
        <f t="shared" ref="H78:I78" si="26">+IF(H21="","",H21)</f>
        <v/>
      </c>
      <c r="I78" s="428" t="str">
        <f t="shared" si="26"/>
        <v/>
      </c>
      <c r="J78" s="424" t="str">
        <f>IFERROR(INDEX(確認申請料金表データ!C$4:Q$33,MATCH(E78,確認申請料金表データ!B$4:B$33,0),MATCH(C78,確認申請料金表データ!C$3:Q$3,0)),"")</f>
        <v/>
      </c>
      <c r="K78" s="425" t="str">
        <f t="shared" si="23"/>
        <v/>
      </c>
      <c r="L78" s="422" t="str">
        <f t="shared" si="24"/>
        <v/>
      </c>
      <c r="O78" s="429"/>
    </row>
    <row r="79" spans="2:15" s="398" customFormat="1" ht="15" hidden="1" customHeight="1" x14ac:dyDescent="0.15">
      <c r="B79" s="423" t="str">
        <f t="shared" ref="B79:C79" si="27">+IF(B22="","",B22)</f>
        <v/>
      </c>
      <c r="C79" s="423" t="str">
        <f t="shared" si="27"/>
        <v/>
      </c>
      <c r="D79" s="426"/>
      <c r="E79" s="423" t="str">
        <f t="shared" si="21"/>
        <v/>
      </c>
      <c r="F79" s="427"/>
      <c r="G79" s="427"/>
      <c r="H79" s="428" t="str">
        <f t="shared" ref="H79:I79" si="28">+IF(H22="","",H22)</f>
        <v/>
      </c>
      <c r="I79" s="428" t="str">
        <f t="shared" si="28"/>
        <v/>
      </c>
      <c r="J79" s="424" t="str">
        <f>IFERROR(INDEX(確認申請料金表データ!C$4:Q$33,MATCH(E79,確認申請料金表データ!B$4:B$33,0),MATCH(C79,確認申請料金表データ!C$3:Q$3,0)),"")</f>
        <v/>
      </c>
      <c r="K79" s="425" t="str">
        <f t="shared" si="23"/>
        <v/>
      </c>
      <c r="L79" s="422" t="str">
        <f t="shared" si="24"/>
        <v/>
      </c>
      <c r="O79" s="429"/>
    </row>
    <row r="80" spans="2:15" s="398" customFormat="1" ht="15" hidden="1" customHeight="1" x14ac:dyDescent="0.15">
      <c r="B80" s="423" t="str">
        <f t="shared" ref="B80:C80" si="29">+IF(B23="","",B23)</f>
        <v/>
      </c>
      <c r="C80" s="423" t="str">
        <f t="shared" si="29"/>
        <v/>
      </c>
      <c r="D80" s="426"/>
      <c r="E80" s="423" t="str">
        <f t="shared" si="21"/>
        <v/>
      </c>
      <c r="F80" s="427"/>
      <c r="G80" s="427"/>
      <c r="H80" s="428" t="str">
        <f t="shared" ref="H80:I80" si="30">+IF(H23="","",H23)</f>
        <v/>
      </c>
      <c r="I80" s="428" t="str">
        <f t="shared" si="30"/>
        <v/>
      </c>
      <c r="J80" s="424" t="str">
        <f>IFERROR(INDEX(確認申請料金表データ!C$4:Q$33,MATCH(E80,確認申請料金表データ!B$4:B$33,0),MATCH(C80,確認申請料金表データ!C$3:Q$3,0)),"")</f>
        <v/>
      </c>
      <c r="K80" s="425" t="str">
        <f t="shared" si="23"/>
        <v/>
      </c>
      <c r="L80" s="422" t="str">
        <f t="shared" si="24"/>
        <v/>
      </c>
      <c r="O80" s="429"/>
    </row>
    <row r="81" spans="2:15" s="398" customFormat="1" ht="15" hidden="1" customHeight="1" x14ac:dyDescent="0.15">
      <c r="B81" s="423" t="str">
        <f t="shared" ref="B81:C81" si="31">+IF(B24="","",B24)</f>
        <v/>
      </c>
      <c r="C81" s="423" t="str">
        <f t="shared" si="31"/>
        <v/>
      </c>
      <c r="D81" s="426"/>
      <c r="E81" s="423" t="str">
        <f t="shared" si="21"/>
        <v/>
      </c>
      <c r="F81" s="427"/>
      <c r="G81" s="427"/>
      <c r="H81" s="428" t="str">
        <f t="shared" ref="H81:I81" si="32">+IF(H24="","",H24)</f>
        <v/>
      </c>
      <c r="I81" s="428" t="str">
        <f t="shared" si="32"/>
        <v/>
      </c>
      <c r="J81" s="424" t="str">
        <f>IFERROR(INDEX(確認申請料金表データ!C$4:Q$33,MATCH(E81,確認申請料金表データ!B$4:B$33,0),MATCH(C81,確認申請料金表データ!C$3:Q$3,0)),"")</f>
        <v/>
      </c>
      <c r="K81" s="425" t="str">
        <f t="shared" si="23"/>
        <v/>
      </c>
      <c r="L81" s="422" t="str">
        <f t="shared" si="24"/>
        <v/>
      </c>
      <c r="O81" s="429"/>
    </row>
    <row r="82" spans="2:15" s="398" customFormat="1" ht="15" hidden="1" customHeight="1" x14ac:dyDescent="0.15">
      <c r="B82" s="423" t="str">
        <f t="shared" ref="B82:C82" si="33">+IF(B25="","",B25)</f>
        <v/>
      </c>
      <c r="C82" s="423" t="str">
        <f t="shared" si="33"/>
        <v/>
      </c>
      <c r="D82" s="426"/>
      <c r="E82" s="423" t="str">
        <f t="shared" si="21"/>
        <v/>
      </c>
      <c r="F82" s="427"/>
      <c r="G82" s="427"/>
      <c r="H82" s="428" t="str">
        <f t="shared" ref="H82:I82" si="34">+IF(H25="","",H25)</f>
        <v/>
      </c>
      <c r="I82" s="428" t="str">
        <f t="shared" si="34"/>
        <v/>
      </c>
      <c r="J82" s="424" t="str">
        <f>IFERROR(INDEX(確認申請料金表データ!C$4:Q$33,MATCH(E82,確認申請料金表データ!B$4:B$33,0),MATCH(C82,確認申請料金表データ!C$3:Q$3,0)),"")</f>
        <v/>
      </c>
      <c r="K82" s="425" t="str">
        <f t="shared" si="23"/>
        <v/>
      </c>
      <c r="L82" s="422" t="str">
        <f t="shared" si="24"/>
        <v/>
      </c>
      <c r="O82" s="429"/>
    </row>
    <row r="83" spans="2:15" s="398" customFormat="1" ht="15" hidden="1" customHeight="1" x14ac:dyDescent="0.15">
      <c r="B83" s="423" t="str">
        <f t="shared" ref="B83:C83" si="35">+IF(B26="","",B26)</f>
        <v/>
      </c>
      <c r="C83" s="423" t="str">
        <f t="shared" si="35"/>
        <v/>
      </c>
      <c r="D83" s="426"/>
      <c r="E83" s="423" t="str">
        <f t="shared" si="21"/>
        <v/>
      </c>
      <c r="F83" s="427"/>
      <c r="G83" s="427"/>
      <c r="H83" s="428" t="str">
        <f t="shared" ref="H83:I83" si="36">+IF(H26="","",H26)</f>
        <v/>
      </c>
      <c r="I83" s="428" t="str">
        <f t="shared" si="36"/>
        <v/>
      </c>
      <c r="J83" s="424" t="str">
        <f>IFERROR(INDEX(確認申請料金表データ!C$4:Q$33,MATCH(E83,確認申請料金表データ!B$4:B$33,0),MATCH(C83,確認申請料金表データ!C$3:Q$3,0)),"")</f>
        <v/>
      </c>
      <c r="K83" s="425" t="str">
        <f t="shared" si="23"/>
        <v/>
      </c>
      <c r="L83" s="422" t="str">
        <f t="shared" si="24"/>
        <v/>
      </c>
      <c r="O83" s="429"/>
    </row>
    <row r="84" spans="2:15" s="398" customFormat="1" ht="15" hidden="1" customHeight="1" x14ac:dyDescent="0.15">
      <c r="B84" s="423" t="str">
        <f t="shared" ref="B84:C84" si="37">+IF(B27="","",B27)</f>
        <v/>
      </c>
      <c r="C84" s="423" t="str">
        <f t="shared" si="37"/>
        <v/>
      </c>
      <c r="D84" s="426"/>
      <c r="E84" s="423" t="str">
        <f t="shared" si="21"/>
        <v/>
      </c>
      <c r="F84" s="427"/>
      <c r="G84" s="427"/>
      <c r="H84" s="428" t="str">
        <f t="shared" ref="H84:I84" si="38">+IF(H27="","",H27)</f>
        <v/>
      </c>
      <c r="I84" s="428" t="str">
        <f t="shared" si="38"/>
        <v/>
      </c>
      <c r="J84" s="424" t="str">
        <f>IFERROR(INDEX(確認申請料金表データ!C$4:Q$33,MATCH(E84,確認申請料金表データ!B$4:B$33,0),MATCH(C84,確認申請料金表データ!C$3:Q$3,0)),"")</f>
        <v/>
      </c>
      <c r="K84" s="425" t="str">
        <f t="shared" si="23"/>
        <v/>
      </c>
      <c r="L84" s="422" t="str">
        <f t="shared" si="24"/>
        <v/>
      </c>
      <c r="O84" s="429"/>
    </row>
    <row r="85" spans="2:15" s="398" customFormat="1" ht="15" hidden="1" customHeight="1" x14ac:dyDescent="0.15">
      <c r="B85" s="423" t="str">
        <f t="shared" ref="B85:C85" si="39">+IF(B28="","",B28)</f>
        <v/>
      </c>
      <c r="C85" s="423" t="str">
        <f t="shared" si="39"/>
        <v/>
      </c>
      <c r="D85" s="426"/>
      <c r="E85" s="423" t="str">
        <f t="shared" si="21"/>
        <v/>
      </c>
      <c r="F85" s="427"/>
      <c r="G85" s="427"/>
      <c r="H85" s="428" t="str">
        <f t="shared" ref="H85:I85" si="40">+IF(H28="","",H28)</f>
        <v/>
      </c>
      <c r="I85" s="428" t="str">
        <f t="shared" si="40"/>
        <v/>
      </c>
      <c r="J85" s="424" t="str">
        <f>IFERROR(INDEX(確認申請料金表データ!C$4:Q$33,MATCH(E85,確認申請料金表データ!B$4:B$33,0),MATCH(C85,確認申請料金表データ!C$3:Q$3,0)),"")</f>
        <v/>
      </c>
      <c r="K85" s="425" t="str">
        <f t="shared" si="23"/>
        <v/>
      </c>
      <c r="L85" s="422" t="str">
        <f t="shared" si="24"/>
        <v/>
      </c>
      <c r="O85" s="429"/>
    </row>
    <row r="86" spans="2:15" s="398" customFormat="1" ht="15" customHeight="1" x14ac:dyDescent="0.15">
      <c r="B86" s="423" t="str">
        <f t="shared" ref="B86:C106" si="41">+IF(B29="","",B29)</f>
        <v/>
      </c>
      <c r="C86" s="423" t="str">
        <f t="shared" si="41"/>
        <v/>
      </c>
      <c r="D86" s="426"/>
      <c r="E86" s="427"/>
      <c r="F86" s="427"/>
      <c r="G86" s="427"/>
      <c r="H86" s="428" t="str">
        <f t="shared" ref="H86:I102" si="42">+IF(H29="","",H29)</f>
        <v/>
      </c>
      <c r="I86" s="428" t="str">
        <f t="shared" si="42"/>
        <v/>
      </c>
      <c r="J86" s="424" t="str">
        <f>IFERROR(INDEX(確認申請料金表データ!C$4:Q$33,MATCH($K$16,確認申請料金表データ!B$4:B$33,0),MATCH($C86,確認申請料金表データ!C$3:Q$3,0)),"")</f>
        <v/>
      </c>
      <c r="K86" s="425" t="str">
        <f>IFERROR(+J86*H86,"")</f>
        <v/>
      </c>
      <c r="L86" s="422" t="str">
        <f t="shared" ref="L86:L106" si="43">+IF(L29="","",L29)</f>
        <v/>
      </c>
    </row>
    <row r="87" spans="2:15" s="398" customFormat="1" ht="15" customHeight="1" x14ac:dyDescent="0.15">
      <c r="B87" s="423" t="str">
        <f t="shared" si="41"/>
        <v/>
      </c>
      <c r="C87" s="423" t="str">
        <f t="shared" si="41"/>
        <v/>
      </c>
      <c r="D87" s="426"/>
      <c r="E87" s="427"/>
      <c r="F87" s="427"/>
      <c r="G87" s="427"/>
      <c r="H87" s="423" t="str">
        <f t="shared" si="42"/>
        <v/>
      </c>
      <c r="I87" s="423" t="str">
        <f t="shared" si="42"/>
        <v/>
      </c>
      <c r="J87" s="423" t="str">
        <f>+IF(J30="","",J30)</f>
        <v/>
      </c>
      <c r="K87" s="423" t="str">
        <f>+IF(K30="","",K30)</f>
        <v/>
      </c>
      <c r="L87" s="422" t="str">
        <f t="shared" si="43"/>
        <v/>
      </c>
      <c r="M87" s="423" t="str">
        <f>+IF(M30="","",M30)</f>
        <v/>
      </c>
    </row>
    <row r="88" spans="2:15" s="398" customFormat="1" ht="15" customHeight="1" x14ac:dyDescent="0.15">
      <c r="B88" s="423" t="str">
        <f t="shared" si="41"/>
        <v/>
      </c>
      <c r="C88" s="423" t="str">
        <f t="shared" si="41"/>
        <v/>
      </c>
      <c r="D88" s="426"/>
      <c r="E88" s="426"/>
      <c r="F88" s="426"/>
      <c r="G88" s="426"/>
      <c r="H88" s="423" t="str">
        <f t="shared" si="42"/>
        <v/>
      </c>
      <c r="I88" s="423" t="str">
        <f t="shared" si="42"/>
        <v/>
      </c>
      <c r="J88" s="423" t="str">
        <f>+IF(J31="","",J31)</f>
        <v/>
      </c>
      <c r="K88" s="423" t="str">
        <f>+IF(K31="","",K31)</f>
        <v/>
      </c>
      <c r="L88" s="422" t="str">
        <f t="shared" si="43"/>
        <v/>
      </c>
      <c r="M88" s="423" t="str">
        <f>+IF(M31="","",M31)</f>
        <v/>
      </c>
    </row>
    <row r="89" spans="2:15" s="398" customFormat="1" ht="15" customHeight="1" x14ac:dyDescent="0.15">
      <c r="B89" s="423" t="str">
        <f t="shared" si="41"/>
        <v>□</v>
      </c>
      <c r="C89" s="423" t="str">
        <f t="shared" si="41"/>
        <v>加算手数料</v>
      </c>
      <c r="D89" s="426"/>
      <c r="E89" s="426"/>
      <c r="F89" s="426"/>
      <c r="G89" s="426"/>
      <c r="H89" s="428" t="str">
        <f t="shared" si="42"/>
        <v/>
      </c>
      <c r="I89" s="428" t="str">
        <f t="shared" si="42"/>
        <v/>
      </c>
      <c r="J89" s="424"/>
      <c r="K89" s="425"/>
      <c r="L89" s="422" t="str">
        <f t="shared" si="43"/>
        <v/>
      </c>
    </row>
    <row r="90" spans="2:15" s="398" customFormat="1" ht="15" customHeight="1" x14ac:dyDescent="0.15">
      <c r="B90" s="423" t="str">
        <f t="shared" si="41"/>
        <v/>
      </c>
      <c r="C90" s="423" t="str">
        <f t="shared" si="41"/>
        <v/>
      </c>
      <c r="D90" s="426"/>
      <c r="E90" s="426"/>
      <c r="F90" s="426"/>
      <c r="G90" s="426"/>
      <c r="H90" s="428" t="str">
        <f t="shared" si="42"/>
        <v/>
      </c>
      <c r="I90" s="428" t="str">
        <f t="shared" si="42"/>
        <v/>
      </c>
      <c r="J90" s="424" t="str">
        <f>IFERROR(INDEX(確認申請料金表データ!X$4:AN$33,MATCH($K$16,確認申請料金表データ!B$4:B$33,0),MATCH(C90,確認申請料金表データ!X$3:AN$3,0)),"")</f>
        <v/>
      </c>
      <c r="K90" s="425" t="str">
        <f>IFERROR(+J90*H90,"")</f>
        <v/>
      </c>
      <c r="L90" s="422" t="str">
        <f t="shared" si="43"/>
        <v/>
      </c>
    </row>
    <row r="91" spans="2:15" s="398" customFormat="1" ht="15" customHeight="1" x14ac:dyDescent="0.15">
      <c r="B91" s="423" t="str">
        <f t="shared" si="41"/>
        <v/>
      </c>
      <c r="C91" s="423" t="str">
        <f t="shared" si="41"/>
        <v/>
      </c>
      <c r="D91" s="423"/>
      <c r="E91" s="423"/>
      <c r="F91" s="423"/>
      <c r="G91" s="423"/>
      <c r="H91" s="428" t="str">
        <f t="shared" si="42"/>
        <v/>
      </c>
      <c r="I91" s="428" t="str">
        <f t="shared" si="42"/>
        <v/>
      </c>
      <c r="J91" s="424" t="str">
        <f>IFERROR(INDEX(確認申請料金表データ!X$4:AN$33,MATCH($K$16,確認申請料金表データ!B$4:B$33,0),MATCH(C91,確認申請料金表データ!X$3:AN$3,0)),"")</f>
        <v/>
      </c>
      <c r="K91" s="425" t="str">
        <f t="shared" ref="K91:K94" si="44">IFERROR(+J91*H91,"")</f>
        <v/>
      </c>
      <c r="L91" s="422" t="str">
        <f t="shared" si="43"/>
        <v/>
      </c>
      <c r="O91" s="430"/>
    </row>
    <row r="92" spans="2:15" s="398" customFormat="1" ht="15" customHeight="1" x14ac:dyDescent="0.15">
      <c r="B92" s="423" t="str">
        <f t="shared" si="41"/>
        <v/>
      </c>
      <c r="C92" s="423" t="str">
        <f t="shared" si="41"/>
        <v/>
      </c>
      <c r="D92" s="423"/>
      <c r="E92" s="423"/>
      <c r="F92" s="423"/>
      <c r="G92" s="423"/>
      <c r="H92" s="428" t="str">
        <f t="shared" si="42"/>
        <v/>
      </c>
      <c r="I92" s="428" t="str">
        <f t="shared" si="42"/>
        <v/>
      </c>
      <c r="J92" s="424" t="str">
        <f>IFERROR(INDEX(確認申請料金表データ!X$4:AN$33,MATCH($K$16,確認申請料金表データ!B$4:B$33,0),MATCH(C92,確認申請料金表データ!X$3:AN$3,0)),"")</f>
        <v/>
      </c>
      <c r="K92" s="425" t="str">
        <f t="shared" si="44"/>
        <v/>
      </c>
      <c r="L92" s="422" t="str">
        <f t="shared" si="43"/>
        <v/>
      </c>
    </row>
    <row r="93" spans="2:15" s="398" customFormat="1" ht="15" customHeight="1" x14ac:dyDescent="0.15">
      <c r="B93" s="423" t="str">
        <f t="shared" si="41"/>
        <v/>
      </c>
      <c r="C93" s="423" t="str">
        <f t="shared" si="41"/>
        <v/>
      </c>
      <c r="D93" s="423"/>
      <c r="E93" s="423"/>
      <c r="F93" s="423"/>
      <c r="G93" s="423"/>
      <c r="H93" s="428" t="str">
        <f t="shared" si="42"/>
        <v/>
      </c>
      <c r="I93" s="428" t="str">
        <f t="shared" si="42"/>
        <v/>
      </c>
      <c r="J93" s="424" t="str">
        <f>IFERROR(INDEX(確認申請料金表データ!X$4:AN$33,MATCH($K$16,確認申請料金表データ!B$4:B$33,0),MATCH(C93,確認申請料金表データ!X$3:AN$3,0)),"")</f>
        <v/>
      </c>
      <c r="K93" s="425" t="str">
        <f t="shared" si="44"/>
        <v/>
      </c>
      <c r="L93" s="422" t="str">
        <f t="shared" si="43"/>
        <v/>
      </c>
    </row>
    <row r="94" spans="2:15" s="398" customFormat="1" ht="15" customHeight="1" x14ac:dyDescent="0.15">
      <c r="B94" s="423" t="str">
        <f t="shared" si="41"/>
        <v/>
      </c>
      <c r="C94" s="423" t="str">
        <f t="shared" si="41"/>
        <v/>
      </c>
      <c r="D94" s="423"/>
      <c r="E94" s="423"/>
      <c r="F94" s="423"/>
      <c r="G94" s="423"/>
      <c r="H94" s="428" t="str">
        <f t="shared" si="42"/>
        <v/>
      </c>
      <c r="I94" s="428" t="str">
        <f t="shared" si="42"/>
        <v/>
      </c>
      <c r="J94" s="424" t="str">
        <f>IFERROR(INDEX(確認申請料金表データ!X$4:AN$33,MATCH($K$16,確認申請料金表データ!B$4:B$33,0),MATCH(C94,確認申請料金表データ!X$3:AN$3,0)),"")</f>
        <v/>
      </c>
      <c r="K94" s="425" t="str">
        <f t="shared" si="44"/>
        <v/>
      </c>
      <c r="L94" s="422" t="str">
        <f t="shared" si="43"/>
        <v/>
      </c>
    </row>
    <row r="95" spans="2:15" s="398" customFormat="1" ht="15" customHeight="1" x14ac:dyDescent="0.15">
      <c r="B95" s="423" t="str">
        <f t="shared" si="41"/>
        <v/>
      </c>
      <c r="C95" s="423" t="str">
        <f t="shared" si="41"/>
        <v/>
      </c>
      <c r="D95" s="423"/>
      <c r="E95" s="423"/>
      <c r="F95" s="423"/>
      <c r="G95" s="423"/>
      <c r="H95" s="428" t="str">
        <f t="shared" si="42"/>
        <v/>
      </c>
      <c r="I95" s="428" t="str">
        <f t="shared" si="42"/>
        <v/>
      </c>
      <c r="J95" s="424" t="str">
        <f>IFERROR(INDEX(確認申請料金表データ!X$4:AN$33,MATCH($K$16,確認申請料金表データ!B$4:B$33,0),MATCH(C95,確認申請料金表データ!X$3:AN$3,0)),"")</f>
        <v/>
      </c>
      <c r="K95" s="425" t="str">
        <f>IFERROR(+J95*H95,"")</f>
        <v/>
      </c>
      <c r="L95" s="422" t="str">
        <f t="shared" si="43"/>
        <v/>
      </c>
    </row>
    <row r="96" spans="2:15" s="398" customFormat="1" ht="15" customHeight="1" x14ac:dyDescent="0.15">
      <c r="B96" s="423" t="str">
        <f t="shared" si="41"/>
        <v/>
      </c>
      <c r="C96" s="423" t="str">
        <f t="shared" si="41"/>
        <v/>
      </c>
      <c r="D96" s="423"/>
      <c r="E96" s="423"/>
      <c r="F96" s="423"/>
      <c r="G96" s="423"/>
      <c r="H96" s="428" t="str">
        <f t="shared" si="42"/>
        <v/>
      </c>
      <c r="I96" s="428" t="str">
        <f t="shared" si="42"/>
        <v/>
      </c>
      <c r="J96" s="424" t="str">
        <f>IFERROR(INDEX(確認申請料金表データ!X$4:AN$33,MATCH($K$16,確認申請料金表データ!B$4:B$33,0),MATCH(C96,確認申請料金表データ!X$3:AN$3,0)),"")</f>
        <v/>
      </c>
      <c r="K96" s="425" t="str">
        <f>IFERROR(+J96*H96,"")</f>
        <v/>
      </c>
      <c r="L96" s="422" t="str">
        <f t="shared" si="43"/>
        <v/>
      </c>
    </row>
    <row r="97" spans="2:15" s="398" customFormat="1" ht="15" customHeight="1" x14ac:dyDescent="0.15">
      <c r="B97" s="423" t="str">
        <f t="shared" si="41"/>
        <v/>
      </c>
      <c r="C97" s="423" t="str">
        <f t="shared" si="41"/>
        <v/>
      </c>
      <c r="D97" s="423"/>
      <c r="E97" s="423"/>
      <c r="F97" s="423"/>
      <c r="G97" s="423"/>
      <c r="H97" s="428" t="str">
        <f t="shared" si="42"/>
        <v/>
      </c>
      <c r="I97" s="428" t="str">
        <f t="shared" si="42"/>
        <v/>
      </c>
      <c r="J97" s="424" t="str">
        <f>IFERROR(INDEX(確認申請料金表データ!X$4:AN$33,MATCH($K$16,確認申請料金表データ!B$4:B$33,0),MATCH(C97,確認申請料金表データ!X$3:AN$3,0)),"")</f>
        <v/>
      </c>
      <c r="K97" s="425" t="str">
        <f t="shared" ref="K97" si="45">IFERROR(+J97*H97,"")</f>
        <v/>
      </c>
      <c r="L97" s="422" t="str">
        <f t="shared" si="43"/>
        <v/>
      </c>
    </row>
    <row r="98" spans="2:15" s="398" customFormat="1" ht="15" customHeight="1" x14ac:dyDescent="0.15">
      <c r="B98" s="423" t="str">
        <f t="shared" si="41"/>
        <v/>
      </c>
      <c r="C98" s="423" t="str">
        <f t="shared" si="41"/>
        <v/>
      </c>
      <c r="D98" s="423" t="str">
        <f>+IF(D41="","",D41)</f>
        <v/>
      </c>
      <c r="E98" s="423" t="str">
        <f>+IF(E41="","",E41)</f>
        <v/>
      </c>
      <c r="F98" s="423" t="str">
        <f>+IF(F41="","",F41)</f>
        <v/>
      </c>
      <c r="G98" s="423" t="str">
        <f>+IF(G41="","",G41)</f>
        <v/>
      </c>
      <c r="H98" s="423" t="str">
        <f t="shared" si="42"/>
        <v/>
      </c>
      <c r="I98" s="423" t="str">
        <f t="shared" si="42"/>
        <v/>
      </c>
      <c r="J98" s="423" t="str">
        <f>+IF(J41="","",J41)</f>
        <v/>
      </c>
      <c r="K98" s="423" t="str">
        <f>+IF(K41="","",K41)</f>
        <v/>
      </c>
      <c r="L98" s="422" t="str">
        <f t="shared" si="43"/>
        <v/>
      </c>
      <c r="O98" s="429"/>
    </row>
    <row r="99" spans="2:15" s="398" customFormat="1" ht="15" customHeight="1" x14ac:dyDescent="0.15">
      <c r="B99" s="423" t="str">
        <f t="shared" si="41"/>
        <v>□</v>
      </c>
      <c r="C99" s="423" t="str">
        <f t="shared" si="41"/>
        <v>省エネ基準省令に基づく基準による審査(仕様基準)</v>
      </c>
      <c r="D99" s="426"/>
      <c r="E99" s="426"/>
      <c r="F99" s="426"/>
      <c r="G99" s="426"/>
      <c r="H99" s="428" t="str">
        <f t="shared" si="42"/>
        <v/>
      </c>
      <c r="I99" s="428" t="str">
        <f t="shared" si="42"/>
        <v/>
      </c>
      <c r="J99" s="424"/>
      <c r="K99" s="425"/>
      <c r="L99" s="422" t="str">
        <f t="shared" si="43"/>
        <v/>
      </c>
    </row>
    <row r="100" spans="2:15" s="398" customFormat="1" ht="15" customHeight="1" x14ac:dyDescent="0.15">
      <c r="B100" s="423" t="str">
        <f t="shared" si="41"/>
        <v/>
      </c>
      <c r="C100" s="423" t="str">
        <f t="shared" si="41"/>
        <v/>
      </c>
      <c r="D100" s="426"/>
      <c r="E100" s="426"/>
      <c r="F100" s="426"/>
      <c r="G100" s="426"/>
      <c r="H100" s="428" t="str">
        <f t="shared" si="42"/>
        <v/>
      </c>
      <c r="I100" s="428" t="str">
        <f t="shared" si="42"/>
        <v/>
      </c>
      <c r="J100" s="424" t="str">
        <f>IFERROR(INDEX(確認申請料金表データ!S$4:V$33,MATCH($K$16,確認申請料金表データ!B$4:B$33,0),MATCH($C100,確認申請料金表データ!S$3:V$3,0)),"")</f>
        <v/>
      </c>
      <c r="K100" s="425" t="str">
        <f t="shared" ref="K100:K101" si="46">IFERROR(+J100*H100,"")</f>
        <v/>
      </c>
      <c r="L100" s="422" t="str">
        <f t="shared" si="43"/>
        <v/>
      </c>
    </row>
    <row r="101" spans="2:15" s="398" customFormat="1" ht="15" customHeight="1" x14ac:dyDescent="0.15">
      <c r="B101" s="423" t="str">
        <f t="shared" si="41"/>
        <v/>
      </c>
      <c r="C101" s="423" t="str">
        <f t="shared" si="41"/>
        <v/>
      </c>
      <c r="D101" s="426"/>
      <c r="E101" s="426"/>
      <c r="F101" s="426"/>
      <c r="G101" s="426"/>
      <c r="H101" s="428" t="str">
        <f t="shared" si="42"/>
        <v/>
      </c>
      <c r="I101" s="428" t="str">
        <f t="shared" si="42"/>
        <v/>
      </c>
      <c r="J101" s="424" t="str">
        <f>IFERROR(INDEX(確認申請料金表データ!S$4:V$33,MATCH($K$16,確認申請料金表データ!B$4:B$33,0),MATCH($C101,確認申請料金表データ!S$3:V$3,0)),"")</f>
        <v/>
      </c>
      <c r="K101" s="425" t="str">
        <f t="shared" si="46"/>
        <v/>
      </c>
      <c r="L101" s="422" t="str">
        <f t="shared" si="43"/>
        <v/>
      </c>
    </row>
    <row r="102" spans="2:15" s="398" customFormat="1" ht="15" customHeight="1" x14ac:dyDescent="0.15">
      <c r="B102" s="423" t="str">
        <f t="shared" si="41"/>
        <v/>
      </c>
      <c r="C102" s="423" t="str">
        <f t="shared" si="41"/>
        <v/>
      </c>
      <c r="D102" s="426"/>
      <c r="E102" s="426"/>
      <c r="F102" s="426"/>
      <c r="G102" s="426"/>
      <c r="H102" s="422" t="str">
        <f t="shared" si="42"/>
        <v/>
      </c>
      <c r="I102" s="422" t="str">
        <f t="shared" si="42"/>
        <v/>
      </c>
      <c r="J102" s="422" t="str">
        <f>+IF(J45="","",J45)</f>
        <v/>
      </c>
      <c r="K102" s="422" t="str">
        <f>+IF(K45="","",K45)</f>
        <v/>
      </c>
      <c r="L102" s="422" t="str">
        <f t="shared" si="43"/>
        <v/>
      </c>
    </row>
    <row r="103" spans="2:15" s="398" customFormat="1" ht="15" customHeight="1" x14ac:dyDescent="0.15">
      <c r="B103" s="423" t="str">
        <f t="shared" si="41"/>
        <v/>
      </c>
      <c r="C103" s="423" t="str">
        <f t="shared" si="41"/>
        <v/>
      </c>
      <c r="D103" s="431"/>
      <c r="E103" s="431"/>
      <c r="F103" s="431"/>
      <c r="G103" s="431"/>
      <c r="H103" s="432" t="s">
        <v>21</v>
      </c>
      <c r="I103" s="433"/>
      <c r="J103" s="433"/>
      <c r="K103" s="434">
        <f>SUM(K75:K101)</f>
        <v>45000</v>
      </c>
      <c r="L103" s="422" t="str">
        <f t="shared" si="43"/>
        <v>-</v>
      </c>
    </row>
    <row r="104" spans="2:15" s="398" customFormat="1" ht="15" customHeight="1" x14ac:dyDescent="0.15">
      <c r="B104" s="435" t="str">
        <f t="shared" si="41"/>
        <v>□</v>
      </c>
      <c r="C104" s="436" t="str">
        <f t="shared" si="41"/>
        <v>出張費及び交通費（当機関規定による）【課税対象、消費税込み】</v>
      </c>
      <c r="D104" s="437" t="str">
        <f t="shared" ref="D104:K105" si="47">+IF(D47="","",D47)</f>
        <v/>
      </c>
      <c r="E104" s="437" t="str">
        <f t="shared" si="47"/>
        <v/>
      </c>
      <c r="F104" s="437" t="str">
        <f t="shared" si="47"/>
        <v/>
      </c>
      <c r="G104" s="437" t="str">
        <f t="shared" si="47"/>
        <v/>
      </c>
      <c r="H104" s="438" t="str">
        <f t="shared" si="47"/>
        <v/>
      </c>
      <c r="I104" s="435" t="str">
        <f t="shared" si="47"/>
        <v/>
      </c>
      <c r="J104" s="439" t="str">
        <f t="shared" si="47"/>
        <v/>
      </c>
      <c r="K104" s="439" t="str">
        <f t="shared" si="47"/>
        <v/>
      </c>
      <c r="L104" s="435" t="str">
        <f t="shared" si="43"/>
        <v/>
      </c>
      <c r="M104" s="398" t="str">
        <f>+IF(M47="","",M47)</f>
        <v/>
      </c>
      <c r="N104" s="398" t="str">
        <f>+IF(N47="","",N47)</f>
        <v/>
      </c>
    </row>
    <row r="105" spans="2:15" s="398" customFormat="1" ht="15" customHeight="1" x14ac:dyDescent="0.15">
      <c r="B105" s="440" t="str">
        <f t="shared" si="41"/>
        <v/>
      </c>
      <c r="C105" s="440" t="str">
        <f t="shared" si="41"/>
        <v>出張交通費</v>
      </c>
      <c r="D105" s="441" t="str">
        <f t="shared" si="47"/>
        <v>東京都</v>
      </c>
      <c r="E105" s="426" t="str">
        <f t="shared" si="47"/>
        <v/>
      </c>
      <c r="F105" s="426" t="str">
        <f t="shared" si="47"/>
        <v/>
      </c>
      <c r="G105" s="442" t="str">
        <f t="shared" si="47"/>
        <v/>
      </c>
      <c r="H105" s="443">
        <f t="shared" si="47"/>
        <v>1</v>
      </c>
      <c r="I105" s="428" t="str">
        <f t="shared" si="47"/>
        <v>回</v>
      </c>
      <c r="J105" s="444">
        <f t="shared" si="47"/>
        <v>2200</v>
      </c>
      <c r="K105" s="425">
        <f t="shared" si="47"/>
        <v>2200</v>
      </c>
      <c r="L105" s="445" t="str">
        <f t="shared" si="43"/>
        <v>-</v>
      </c>
      <c r="M105" s="398" t="str">
        <f>+IF(M48="","",M48)</f>
        <v/>
      </c>
      <c r="O105" s="429"/>
    </row>
    <row r="106" spans="2:15" s="398" customFormat="1" ht="15" customHeight="1" x14ac:dyDescent="0.15">
      <c r="B106" s="446" t="str">
        <f t="shared" si="41"/>
        <v/>
      </c>
      <c r="C106" s="447" t="str">
        <f t="shared" si="41"/>
        <v/>
      </c>
      <c r="D106" s="447" t="str">
        <f>+IF(D49="","",D49)</f>
        <v/>
      </c>
      <c r="E106" s="447" t="str">
        <f>+IF(E49="","",E49)</f>
        <v/>
      </c>
      <c r="F106" s="447" t="str">
        <f>+IF(F49="","",F49)</f>
        <v/>
      </c>
      <c r="G106" s="447" t="str">
        <f>+IF(G49="","",G49)</f>
        <v/>
      </c>
      <c r="H106" s="448" t="str">
        <f>+IF(H49="","",H49)</f>
        <v>合     計</v>
      </c>
      <c r="I106" s="448"/>
      <c r="J106" s="449"/>
      <c r="K106" s="450">
        <f>+IF(K49="","",K49)</f>
        <v>2200</v>
      </c>
      <c r="L106" s="446" t="str">
        <f t="shared" si="43"/>
        <v>-</v>
      </c>
      <c r="M106" s="398" t="str">
        <f>+IF(M49="","",M49)</f>
        <v/>
      </c>
      <c r="N106" s="398" t="str">
        <f>+IF(N49="","",N49)</f>
        <v/>
      </c>
    </row>
    <row r="107" spans="2:15" s="398" customFormat="1" ht="15" customHeight="1" thickBot="1" x14ac:dyDescent="0.2">
      <c r="C107" s="412" t="s">
        <v>91</v>
      </c>
      <c r="H107" s="451" t="s">
        <v>2</v>
      </c>
      <c r="I107" s="451"/>
      <c r="J107" s="451"/>
      <c r="K107" s="452">
        <f>K103+K106</f>
        <v>47200</v>
      </c>
      <c r="L107" s="453" t="s">
        <v>1</v>
      </c>
    </row>
    <row r="108" spans="2:15" s="398" customFormat="1" ht="15" customHeight="1" thickTop="1" x14ac:dyDescent="0.15">
      <c r="B108" s="409"/>
      <c r="C108" s="412" t="s">
        <v>19</v>
      </c>
      <c r="I108" s="454"/>
      <c r="J108" s="454"/>
      <c r="K108" s="455"/>
      <c r="L108" s="412"/>
    </row>
    <row r="109" spans="2:15" s="398" customFormat="1" ht="15" customHeight="1" x14ac:dyDescent="0.15">
      <c r="C109" s="412" t="s">
        <v>22</v>
      </c>
    </row>
    <row r="110" spans="2:15" s="398" customFormat="1" ht="15" customHeight="1" x14ac:dyDescent="0.15">
      <c r="C110" s="412" t="s">
        <v>16</v>
      </c>
    </row>
    <row r="111" spans="2:15" s="398" customFormat="1" ht="15" customHeight="1" x14ac:dyDescent="0.15">
      <c r="C111" s="412" t="s">
        <v>20</v>
      </c>
    </row>
    <row r="112" spans="2:15" s="398" customFormat="1" ht="15" customHeight="1" x14ac:dyDescent="0.15">
      <c r="C112" s="412" t="s">
        <v>18</v>
      </c>
    </row>
    <row r="113" spans="2:27" s="392" customFormat="1" ht="15" customHeight="1" x14ac:dyDescent="0.15">
      <c r="C113" s="398"/>
      <c r="K113" s="456"/>
      <c r="O113" s="398"/>
    </row>
    <row r="114" spans="2:27" s="392" customFormat="1" ht="16.5" customHeight="1" x14ac:dyDescent="0.15">
      <c r="L114" s="456" t="s">
        <v>32</v>
      </c>
    </row>
    <row r="115" spans="2:27" s="392" customFormat="1" ht="19.5" customHeight="1" x14ac:dyDescent="0.15">
      <c r="B115" s="388" t="s">
        <v>29</v>
      </c>
      <c r="C115" s="389"/>
      <c r="D115" s="388"/>
      <c r="E115" s="390"/>
      <c r="F115" s="390"/>
      <c r="G115" s="390"/>
      <c r="H115" s="389"/>
      <c r="I115" s="389"/>
      <c r="J115" s="389"/>
      <c r="K115" s="389"/>
      <c r="L115" s="391" t="str">
        <f>+確認申請料金表データ!A107</f>
        <v>2.特約　確認および検査手数料10％off（加算手数料は通常通り）</v>
      </c>
      <c r="O115" s="393"/>
      <c r="P115" s="394"/>
      <c r="Q115" s="394"/>
      <c r="R115" s="394"/>
      <c r="S115" s="394"/>
      <c r="T115" s="393"/>
      <c r="U115" s="394"/>
      <c r="V115" s="394"/>
      <c r="W115" s="394"/>
      <c r="X115" s="394"/>
      <c r="Y115" s="394"/>
      <c r="Z115" s="394"/>
      <c r="AA115" s="394"/>
    </row>
    <row r="116" spans="2:27" s="392" customFormat="1" ht="15" customHeight="1" x14ac:dyDescent="0.15">
      <c r="E116" s="395"/>
      <c r="F116" s="395"/>
      <c r="G116" s="395"/>
      <c r="H116" s="395"/>
      <c r="I116" s="395"/>
      <c r="J116" s="762">
        <f ca="1">TODAY()</f>
        <v>45848</v>
      </c>
      <c r="K116" s="762"/>
      <c r="L116" s="395"/>
    </row>
    <row r="117" spans="2:27" s="392" customFormat="1" ht="15" customHeight="1" x14ac:dyDescent="0.15">
      <c r="E117" s="395"/>
      <c r="F117" s="395"/>
      <c r="G117" s="395"/>
      <c r="H117" s="395"/>
      <c r="I117" s="395"/>
      <c r="J117" s="396"/>
      <c r="K117" s="396"/>
      <c r="L117" s="395"/>
    </row>
    <row r="118" spans="2:27" s="392" customFormat="1" ht="15" customHeight="1" x14ac:dyDescent="0.15">
      <c r="C118" s="759" t="str">
        <f>+入力シート!$E$9&amp;"　　"&amp;入力シート!$G$9</f>
        <v>　　御中</v>
      </c>
      <c r="D118" s="791"/>
    </row>
    <row r="119" spans="2:27" s="392" customFormat="1" ht="15" customHeight="1" x14ac:dyDescent="0.15">
      <c r="C119" s="397" t="str">
        <f t="shared" ref="C119:C127" si="48">+IF(C62="","",C62)</f>
        <v/>
      </c>
    </row>
    <row r="120" spans="2:27" s="392" customFormat="1" ht="15" customHeight="1" x14ac:dyDescent="0.15">
      <c r="C120" s="392" t="str">
        <f t="shared" si="48"/>
        <v/>
      </c>
      <c r="H120" s="398" t="str">
        <f>+IF(H63="","",H63)</f>
        <v>〒150-0002  東京都渋谷区渋谷1-13-9</v>
      </c>
      <c r="I120" s="399"/>
    </row>
    <row r="121" spans="2:27" s="392" customFormat="1" ht="15" customHeight="1" x14ac:dyDescent="0.15">
      <c r="B121" s="392" t="str">
        <f t="shared" ref="B121:B129" si="49">+IF(B64="","",B64)</f>
        <v/>
      </c>
      <c r="C121" s="392" t="str">
        <f t="shared" si="48"/>
        <v/>
      </c>
      <c r="E121" s="392" t="str">
        <f t="shared" ref="E121:G131" si="50">+IF(E64="","",E64)</f>
        <v/>
      </c>
      <c r="F121" s="392" t="str">
        <f t="shared" si="50"/>
        <v/>
      </c>
      <c r="G121" s="392" t="str">
        <f t="shared" si="50"/>
        <v/>
      </c>
      <c r="H121" s="392" t="str">
        <f>+IF(H64="","",H64)</f>
        <v>株式会社 J 建築検査センター</v>
      </c>
      <c r="I121" s="400"/>
      <c r="L121" s="401"/>
      <c r="M121" s="401"/>
    </row>
    <row r="122" spans="2:27" s="392" customFormat="1" ht="15" customHeight="1" x14ac:dyDescent="0.15">
      <c r="B122" s="392" t="str">
        <f t="shared" si="49"/>
        <v/>
      </c>
      <c r="C122" s="392" t="str">
        <f t="shared" si="48"/>
        <v/>
      </c>
      <c r="E122" s="392" t="str">
        <f t="shared" si="50"/>
        <v/>
      </c>
      <c r="F122" s="392" t="str">
        <f t="shared" si="50"/>
        <v/>
      </c>
      <c r="G122" s="392" t="str">
        <f t="shared" si="50"/>
        <v/>
      </c>
      <c r="H122" s="398" t="str">
        <f>+IF(H65="","",H65)</f>
        <v>TEL:03-5464-7778　FAX:03-5464-7779</v>
      </c>
      <c r="I122" s="400"/>
      <c r="M122" s="392" t="str">
        <f>+IF(M65="","",M65)</f>
        <v/>
      </c>
    </row>
    <row r="123" spans="2:27" s="392" customFormat="1" ht="15" customHeight="1" x14ac:dyDescent="0.15">
      <c r="B123" s="392" t="str">
        <f t="shared" si="49"/>
        <v/>
      </c>
      <c r="C123" s="402" t="str">
        <f t="shared" si="48"/>
        <v>下記の通り、お見積申し上げます。</v>
      </c>
      <c r="E123" s="392" t="str">
        <f t="shared" si="50"/>
        <v/>
      </c>
      <c r="F123" s="392" t="str">
        <f t="shared" si="50"/>
        <v/>
      </c>
      <c r="G123" s="392" t="str">
        <f t="shared" si="50"/>
        <v/>
      </c>
      <c r="I123" s="400"/>
      <c r="M123" s="392" t="str">
        <f>+IF(M66="","",M66)</f>
        <v/>
      </c>
    </row>
    <row r="124" spans="2:27" s="392" customFormat="1" ht="11.25" customHeight="1" x14ac:dyDescent="0.15">
      <c r="B124" s="392" t="str">
        <f t="shared" si="49"/>
        <v/>
      </c>
      <c r="C124" s="403" t="str">
        <f t="shared" si="48"/>
        <v/>
      </c>
      <c r="D124" s="403"/>
      <c r="E124" s="403" t="str">
        <f t="shared" si="50"/>
        <v/>
      </c>
      <c r="F124" s="403" t="str">
        <f t="shared" si="50"/>
        <v/>
      </c>
      <c r="G124" s="403" t="str">
        <f t="shared" si="50"/>
        <v/>
      </c>
      <c r="H124" s="403"/>
      <c r="I124" s="403"/>
      <c r="J124" s="403"/>
      <c r="K124" s="403"/>
    </row>
    <row r="125" spans="2:27" s="394" customFormat="1" ht="24" customHeight="1" x14ac:dyDescent="0.15">
      <c r="B125" s="394" t="str">
        <f t="shared" si="49"/>
        <v/>
      </c>
      <c r="C125" s="404" t="str">
        <f t="shared" si="48"/>
        <v>件       名</v>
      </c>
      <c r="D125" s="764">
        <f>+IF(D68="","",D68)</f>
        <v>0</v>
      </c>
      <c r="E125" s="788" t="str">
        <f t="shared" si="50"/>
        <v/>
      </c>
      <c r="F125" s="788" t="str">
        <f t="shared" si="50"/>
        <v/>
      </c>
      <c r="G125" s="788" t="str">
        <f t="shared" si="50"/>
        <v/>
      </c>
      <c r="H125" s="788" t="str">
        <f t="shared" ref="H125:L128" si="51">+IF(H68="","",H68)</f>
        <v/>
      </c>
      <c r="I125" s="788" t="str">
        <f t="shared" si="51"/>
        <v/>
      </c>
      <c r="J125" s="788" t="str">
        <f t="shared" si="51"/>
        <v/>
      </c>
      <c r="K125" s="788" t="str">
        <f t="shared" si="51"/>
        <v/>
      </c>
      <c r="L125" s="394" t="str">
        <f t="shared" si="51"/>
        <v/>
      </c>
    </row>
    <row r="126" spans="2:27" s="394" customFormat="1" ht="24" customHeight="1" x14ac:dyDescent="0.15">
      <c r="B126" s="394" t="str">
        <f t="shared" si="49"/>
        <v/>
      </c>
      <c r="C126" s="405" t="str">
        <f t="shared" si="48"/>
        <v>総　　　額</v>
      </c>
      <c r="D126" s="406">
        <f>+K164</f>
        <v>42700</v>
      </c>
      <c r="E126" s="407" t="str">
        <f t="shared" si="50"/>
        <v>-</v>
      </c>
      <c r="F126" s="407" t="str">
        <f t="shared" si="50"/>
        <v/>
      </c>
      <c r="G126" s="407" t="str">
        <f t="shared" si="50"/>
        <v/>
      </c>
      <c r="H126" s="407" t="str">
        <f t="shared" si="51"/>
        <v/>
      </c>
      <c r="I126" s="408" t="str">
        <f t="shared" si="51"/>
        <v/>
      </c>
      <c r="J126" s="408" t="str">
        <f t="shared" si="51"/>
        <v/>
      </c>
      <c r="K126" s="408" t="str">
        <f t="shared" si="51"/>
        <v/>
      </c>
      <c r="L126" s="394" t="str">
        <f t="shared" si="51"/>
        <v/>
      </c>
    </row>
    <row r="127" spans="2:27" s="398" customFormat="1" ht="15" customHeight="1" x14ac:dyDescent="0.15">
      <c r="B127" s="409" t="str">
        <f t="shared" si="49"/>
        <v/>
      </c>
      <c r="C127" s="410" t="str">
        <f t="shared" si="48"/>
        <v>御見積書有効期限：</v>
      </c>
      <c r="D127" s="411" t="str">
        <f>+IF(D70="","",D70)</f>
        <v>1ヶ月</v>
      </c>
      <c r="E127" s="412" t="str">
        <f t="shared" si="50"/>
        <v>御支払条件：</v>
      </c>
      <c r="F127" s="410" t="str">
        <f t="shared" si="50"/>
        <v/>
      </c>
      <c r="G127" s="763" t="str">
        <f t="shared" si="50"/>
        <v/>
      </c>
      <c r="H127" s="789" t="str">
        <f t="shared" si="51"/>
        <v/>
      </c>
      <c r="I127" s="789" t="str">
        <f t="shared" si="51"/>
        <v/>
      </c>
      <c r="J127" s="789" t="str">
        <f t="shared" si="51"/>
        <v/>
      </c>
      <c r="K127" s="789" t="str">
        <f t="shared" si="51"/>
        <v/>
      </c>
      <c r="L127" s="398" t="str">
        <f t="shared" si="51"/>
        <v/>
      </c>
      <c r="M127" s="398" t="str">
        <f>+IF(M70="","",M70)</f>
        <v/>
      </c>
      <c r="O127" s="394"/>
    </row>
    <row r="128" spans="2:27" s="398" customFormat="1" ht="15" customHeight="1" x14ac:dyDescent="0.15">
      <c r="B128" s="760" t="str">
        <f t="shared" si="49"/>
        <v>品    名　・　摘    要</v>
      </c>
      <c r="C128" s="760"/>
      <c r="D128" s="760" t="str">
        <f>+IF(D71="","",D71)</f>
        <v/>
      </c>
      <c r="E128" s="760" t="str">
        <f t="shared" si="50"/>
        <v/>
      </c>
      <c r="F128" s="760" t="str">
        <f t="shared" si="50"/>
        <v/>
      </c>
      <c r="G128" s="760" t="str">
        <f t="shared" si="50"/>
        <v/>
      </c>
      <c r="H128" s="413" t="str">
        <f t="shared" si="51"/>
        <v>数  量</v>
      </c>
      <c r="I128" s="414" t="str">
        <f t="shared" si="51"/>
        <v>単位</v>
      </c>
      <c r="J128" s="415" t="str">
        <f t="shared" si="51"/>
        <v>単     価</v>
      </c>
      <c r="K128" s="761" t="str">
        <f t="shared" si="51"/>
        <v>金        額</v>
      </c>
      <c r="L128" s="760" t="str">
        <f t="shared" si="51"/>
        <v/>
      </c>
      <c r="M128" s="398" t="str">
        <f>+IF(M71="","",M71)</f>
        <v/>
      </c>
      <c r="O128" s="394"/>
    </row>
    <row r="129" spans="2:15" s="398" customFormat="1" ht="15" customHeight="1" x14ac:dyDescent="0.15">
      <c r="B129" s="416" t="str">
        <f t="shared" si="49"/>
        <v/>
      </c>
      <c r="C129" s="417" t="str">
        <f>+IF(C72="","",C72)</f>
        <v>'地名・地番:</v>
      </c>
      <c r="D129" s="786" t="str">
        <f>+IF(D72="","",D72)</f>
        <v>東京都</v>
      </c>
      <c r="E129" s="787" t="str">
        <f t="shared" si="50"/>
        <v/>
      </c>
      <c r="F129" s="787" t="str">
        <f t="shared" si="50"/>
        <v/>
      </c>
      <c r="G129" s="787" t="str">
        <f t="shared" si="50"/>
        <v/>
      </c>
      <c r="H129" s="418" t="e">
        <f>+IF(H72="","",H72)</f>
        <v>#REF!</v>
      </c>
      <c r="I129" s="418"/>
      <c r="J129" s="419" t="str">
        <f t="shared" ref="J129:L130" si="52">+IF(J72="","",J72)</f>
        <v>一戸建ての住宅</v>
      </c>
      <c r="K129" s="420" t="str">
        <f t="shared" si="52"/>
        <v/>
      </c>
      <c r="L129" s="420" t="str">
        <f t="shared" si="52"/>
        <v/>
      </c>
      <c r="O129" s="394"/>
    </row>
    <row r="130" spans="2:15" s="398" customFormat="1" ht="15" customHeight="1" x14ac:dyDescent="0.15">
      <c r="B130" s="421" t="str">
        <f>+IF(B76="","",B76)</f>
        <v/>
      </c>
      <c r="C130" s="419" t="str">
        <f>+IF(C73="","",C73)</f>
        <v>構造・規模:</v>
      </c>
      <c r="D130" s="419" t="str">
        <f>+IF(D73="","",D73)</f>
        <v>木造</v>
      </c>
      <c r="E130" s="419" t="str">
        <f t="shared" si="50"/>
        <v>：地上</v>
      </c>
      <c r="F130" s="419">
        <f t="shared" si="50"/>
        <v>2</v>
      </c>
      <c r="G130" s="419" t="str">
        <f t="shared" si="50"/>
        <v>階、地下</v>
      </c>
      <c r="H130" s="419" t="str">
        <f>+IF(H73="","",H73)</f>
        <v>-</v>
      </c>
      <c r="I130" s="419" t="str">
        <f>+IF(I73="","",I73)</f>
        <v>階</v>
      </c>
      <c r="J130" s="419" t="str">
        <f t="shared" si="52"/>
        <v>：延べ面積</v>
      </c>
      <c r="K130" s="419" t="str">
        <f t="shared" si="52"/>
        <v>0-100㎡以内(3号)</v>
      </c>
      <c r="L130" s="422" t="str">
        <f t="shared" si="52"/>
        <v/>
      </c>
      <c r="O130" s="394"/>
    </row>
    <row r="131" spans="2:15" s="398" customFormat="1" ht="15" customHeight="1" x14ac:dyDescent="0.15">
      <c r="B131" s="423" t="str">
        <f>+IF(B74="","",B74)</f>
        <v>■</v>
      </c>
      <c r="C131" s="423" t="str">
        <f>+IF(C74="","",C74)</f>
        <v>確認申請業務【非課税】</v>
      </c>
      <c r="D131" s="423" t="str">
        <f>+IF(D74="","",D74)</f>
        <v/>
      </c>
      <c r="E131" s="423" t="str">
        <f t="shared" si="50"/>
        <v/>
      </c>
      <c r="F131" s="423" t="str">
        <f t="shared" si="50"/>
        <v/>
      </c>
      <c r="G131" s="423" t="str">
        <f t="shared" si="50"/>
        <v/>
      </c>
      <c r="H131" s="423" t="str">
        <f>+IF(H74="","",H74)</f>
        <v/>
      </c>
      <c r="I131" s="423" t="str">
        <f>+IF(I74="","",I74)</f>
        <v/>
      </c>
      <c r="J131" s="424"/>
      <c r="K131" s="425"/>
      <c r="L131" s="422" t="str">
        <f>+IF(L74="","",L74)</f>
        <v/>
      </c>
    </row>
    <row r="132" spans="2:15" s="398" customFormat="1" ht="15" customHeight="1" x14ac:dyDescent="0.15">
      <c r="B132" s="423" t="str">
        <f>+IF(B75="","",B75)</f>
        <v>・</v>
      </c>
      <c r="C132" s="423" t="str">
        <f>+IF(C75="","",C75)</f>
        <v>確認申請(計画通知)基本手数料</v>
      </c>
      <c r="D132" s="426"/>
      <c r="E132" s="427"/>
      <c r="F132" s="423" t="str">
        <f>+IF(F75="","",F75)</f>
        <v/>
      </c>
      <c r="G132" s="423" t="str">
        <f>+IF(G75="","",G75)</f>
        <v/>
      </c>
      <c r="H132" s="428">
        <f>+IF(H75="","",H75)</f>
        <v>1</v>
      </c>
      <c r="I132" s="428" t="str">
        <f>+IF(I75="","",I75)</f>
        <v>式</v>
      </c>
      <c r="J132" s="424">
        <f>IFERROR(INDEX(確認申請料金表データ!C$110:Q$137,MATCH($K$16,確認申請料金表データ!B$110:B$137,0),MATCH($C132,確認申請料金表データ!C$3:Q$3,0)),"")</f>
        <v>40500</v>
      </c>
      <c r="K132" s="425">
        <f>IFERROR(+J132*H132,"")</f>
        <v>40500</v>
      </c>
      <c r="L132" s="422" t="str">
        <f>+IF(L75="","",L75)</f>
        <v>-</v>
      </c>
    </row>
    <row r="133" spans="2:15" s="398" customFormat="1" ht="15" customHeight="1" x14ac:dyDescent="0.15">
      <c r="B133" s="423" t="str">
        <f>+IF(B76="","",B76)</f>
        <v/>
      </c>
      <c r="C133" s="423" t="str">
        <f>+IF(C76="","",C76)</f>
        <v/>
      </c>
      <c r="D133" s="426"/>
      <c r="E133" s="423" t="str">
        <f>+IF(E76="","",E76)</f>
        <v/>
      </c>
      <c r="F133" s="423"/>
      <c r="G133" s="423"/>
      <c r="H133" s="428" t="str">
        <f>+IF(H76="","",H76)</f>
        <v/>
      </c>
      <c r="I133" s="428" t="str">
        <f>+IF(I76="","",I76)</f>
        <v/>
      </c>
      <c r="J133" s="424" t="str">
        <f>IFERROR(INDEX(確認申請料金表データ!C$110:Q$137,MATCH(E133,確認申請料金表データ!B$110:B$137,0),MATCH(C133,確認申請料金表データ!C$3:Q$3,0)),"")</f>
        <v/>
      </c>
      <c r="K133" s="425" t="str">
        <f>IFERROR(+J133*H133,"")</f>
        <v/>
      </c>
      <c r="L133" s="422" t="str">
        <f>+IF(L76="","",L76)</f>
        <v/>
      </c>
    </row>
    <row r="134" spans="2:15" s="398" customFormat="1" ht="15" customHeight="1" x14ac:dyDescent="0.15">
      <c r="B134" s="423" t="str">
        <f t="shared" ref="B134:C134" si="53">+IF(B77="","",B77)</f>
        <v/>
      </c>
      <c r="C134" s="423" t="str">
        <f t="shared" si="53"/>
        <v/>
      </c>
      <c r="D134" s="426"/>
      <c r="E134" s="423" t="str">
        <f t="shared" ref="E134:E142" si="54">+IF(E77="","",E77)</f>
        <v/>
      </c>
      <c r="F134" s="423"/>
      <c r="G134" s="423"/>
      <c r="H134" s="428" t="str">
        <f t="shared" ref="H134:I134" si="55">+IF(H77="","",H77)</f>
        <v/>
      </c>
      <c r="I134" s="428" t="str">
        <f t="shared" si="55"/>
        <v/>
      </c>
      <c r="J134" s="424" t="str">
        <f>IFERROR(INDEX(確認申請料金表データ!C$110:Q$137,MATCH(E134,確認申請料金表データ!B$110:B$137,0),MATCH(C134,確認申請料金表データ!C$3:Q$3,0)),"")</f>
        <v/>
      </c>
      <c r="K134" s="425" t="str">
        <f t="shared" ref="K134:K142" si="56">IFERROR(+J134*H134,"")</f>
        <v/>
      </c>
      <c r="L134" s="422" t="str">
        <f t="shared" ref="L134:L142" si="57">+IF(L77="","",L77)</f>
        <v/>
      </c>
      <c r="O134" s="429"/>
    </row>
    <row r="135" spans="2:15" s="398" customFormat="1" ht="15" customHeight="1" x14ac:dyDescent="0.15">
      <c r="B135" s="423" t="str">
        <f t="shared" ref="B135:C135" si="58">+IF(B78="","",B78)</f>
        <v/>
      </c>
      <c r="C135" s="423" t="str">
        <f t="shared" si="58"/>
        <v/>
      </c>
      <c r="D135" s="426"/>
      <c r="E135" s="423" t="str">
        <f t="shared" si="54"/>
        <v/>
      </c>
      <c r="F135" s="423"/>
      <c r="G135" s="423"/>
      <c r="H135" s="428" t="str">
        <f t="shared" ref="H135:I135" si="59">+IF(H78="","",H78)</f>
        <v/>
      </c>
      <c r="I135" s="428" t="str">
        <f t="shared" si="59"/>
        <v/>
      </c>
      <c r="J135" s="424" t="str">
        <f>IFERROR(INDEX(確認申請料金表データ!C$110:Q$137,MATCH(E135,確認申請料金表データ!B$110:B$137,0),MATCH(C135,確認申請料金表データ!C$3:Q$3,0)),"")</f>
        <v/>
      </c>
      <c r="K135" s="425" t="str">
        <f t="shared" si="56"/>
        <v/>
      </c>
      <c r="L135" s="422" t="str">
        <f t="shared" si="57"/>
        <v/>
      </c>
      <c r="O135" s="429"/>
    </row>
    <row r="136" spans="2:15" s="398" customFormat="1" ht="15" hidden="1" customHeight="1" x14ac:dyDescent="0.15">
      <c r="B136" s="423" t="str">
        <f t="shared" ref="B136:C136" si="60">+IF(B79="","",B79)</f>
        <v/>
      </c>
      <c r="C136" s="423" t="str">
        <f t="shared" si="60"/>
        <v/>
      </c>
      <c r="D136" s="426"/>
      <c r="E136" s="423" t="str">
        <f t="shared" si="54"/>
        <v/>
      </c>
      <c r="F136" s="423"/>
      <c r="G136" s="423"/>
      <c r="H136" s="428" t="str">
        <f t="shared" ref="H136:I136" si="61">+IF(H79="","",H79)</f>
        <v/>
      </c>
      <c r="I136" s="428" t="str">
        <f t="shared" si="61"/>
        <v/>
      </c>
      <c r="J136" s="424" t="str">
        <f>IFERROR(INDEX(確認申請料金表データ!C$110:Q$137,MATCH(E136,確認申請料金表データ!B$110:B$137,0),MATCH(C136,確認申請料金表データ!C$3:Q$3,0)),"")</f>
        <v/>
      </c>
      <c r="K136" s="425" t="str">
        <f t="shared" si="56"/>
        <v/>
      </c>
      <c r="L136" s="422" t="str">
        <f t="shared" si="57"/>
        <v/>
      </c>
      <c r="O136" s="429"/>
    </row>
    <row r="137" spans="2:15" s="398" customFormat="1" ht="15" hidden="1" customHeight="1" x14ac:dyDescent="0.15">
      <c r="B137" s="423" t="str">
        <f t="shared" ref="B137:C137" si="62">+IF(B80="","",B80)</f>
        <v/>
      </c>
      <c r="C137" s="423" t="str">
        <f t="shared" si="62"/>
        <v/>
      </c>
      <c r="D137" s="426"/>
      <c r="E137" s="423" t="str">
        <f t="shared" si="54"/>
        <v/>
      </c>
      <c r="F137" s="423"/>
      <c r="G137" s="423"/>
      <c r="H137" s="428" t="str">
        <f t="shared" ref="H137:I137" si="63">+IF(H80="","",H80)</f>
        <v/>
      </c>
      <c r="I137" s="428" t="str">
        <f t="shared" si="63"/>
        <v/>
      </c>
      <c r="J137" s="424" t="str">
        <f>IFERROR(INDEX(確認申請料金表データ!C$110:Q$137,MATCH(E137,確認申請料金表データ!B$110:B$137,0),MATCH(C137,確認申請料金表データ!C$3:Q$3,0)),"")</f>
        <v/>
      </c>
      <c r="K137" s="425" t="str">
        <f t="shared" si="56"/>
        <v/>
      </c>
      <c r="L137" s="422" t="str">
        <f t="shared" si="57"/>
        <v/>
      </c>
      <c r="O137" s="429"/>
    </row>
    <row r="138" spans="2:15" s="398" customFormat="1" ht="15" hidden="1" customHeight="1" x14ac:dyDescent="0.15">
      <c r="B138" s="423" t="str">
        <f t="shared" ref="B138:C138" si="64">+IF(B81="","",B81)</f>
        <v/>
      </c>
      <c r="C138" s="423" t="str">
        <f t="shared" si="64"/>
        <v/>
      </c>
      <c r="D138" s="426"/>
      <c r="E138" s="423" t="str">
        <f t="shared" si="54"/>
        <v/>
      </c>
      <c r="F138" s="423"/>
      <c r="G138" s="423"/>
      <c r="H138" s="428" t="str">
        <f t="shared" ref="H138:I138" si="65">+IF(H81="","",H81)</f>
        <v/>
      </c>
      <c r="I138" s="428" t="str">
        <f t="shared" si="65"/>
        <v/>
      </c>
      <c r="J138" s="424" t="str">
        <f>IFERROR(INDEX(確認申請料金表データ!C$110:Q$137,MATCH(E138,確認申請料金表データ!B$110:B$137,0),MATCH(C138,確認申請料金表データ!C$3:Q$3,0)),"")</f>
        <v/>
      </c>
      <c r="K138" s="425" t="str">
        <f t="shared" si="56"/>
        <v/>
      </c>
      <c r="L138" s="422" t="str">
        <f t="shared" si="57"/>
        <v/>
      </c>
      <c r="O138" s="429"/>
    </row>
    <row r="139" spans="2:15" s="398" customFormat="1" ht="15" hidden="1" customHeight="1" x14ac:dyDescent="0.15">
      <c r="B139" s="423" t="str">
        <f t="shared" ref="B139:C139" si="66">+IF(B82="","",B82)</f>
        <v/>
      </c>
      <c r="C139" s="423" t="str">
        <f t="shared" si="66"/>
        <v/>
      </c>
      <c r="D139" s="426"/>
      <c r="E139" s="423" t="str">
        <f t="shared" si="54"/>
        <v/>
      </c>
      <c r="F139" s="423"/>
      <c r="G139" s="423"/>
      <c r="H139" s="428" t="str">
        <f t="shared" ref="H139:I139" si="67">+IF(H82="","",H82)</f>
        <v/>
      </c>
      <c r="I139" s="428" t="str">
        <f t="shared" si="67"/>
        <v/>
      </c>
      <c r="J139" s="424" t="str">
        <f>IFERROR(INDEX(確認申請料金表データ!C$110:Q$137,MATCH(E139,確認申請料金表データ!B$110:B$137,0),MATCH(C139,確認申請料金表データ!C$3:Q$3,0)),"")</f>
        <v/>
      </c>
      <c r="K139" s="425" t="str">
        <f t="shared" si="56"/>
        <v/>
      </c>
      <c r="L139" s="422" t="str">
        <f t="shared" si="57"/>
        <v/>
      </c>
      <c r="O139" s="429"/>
    </row>
    <row r="140" spans="2:15" s="398" customFormat="1" ht="15" hidden="1" customHeight="1" x14ac:dyDescent="0.15">
      <c r="B140" s="423" t="str">
        <f t="shared" ref="B140:C140" si="68">+IF(B83="","",B83)</f>
        <v/>
      </c>
      <c r="C140" s="423" t="str">
        <f t="shared" si="68"/>
        <v/>
      </c>
      <c r="D140" s="426"/>
      <c r="E140" s="423" t="str">
        <f t="shared" si="54"/>
        <v/>
      </c>
      <c r="F140" s="423"/>
      <c r="G140" s="423"/>
      <c r="H140" s="428" t="str">
        <f t="shared" ref="H140:I140" si="69">+IF(H83="","",H83)</f>
        <v/>
      </c>
      <c r="I140" s="428" t="str">
        <f t="shared" si="69"/>
        <v/>
      </c>
      <c r="J140" s="424" t="str">
        <f>IFERROR(INDEX(確認申請料金表データ!C$110:Q$137,MATCH(E140,確認申請料金表データ!B$110:B$137,0),MATCH(C140,確認申請料金表データ!C$3:Q$3,0)),"")</f>
        <v/>
      </c>
      <c r="K140" s="425" t="str">
        <f t="shared" si="56"/>
        <v/>
      </c>
      <c r="L140" s="422" t="str">
        <f t="shared" si="57"/>
        <v/>
      </c>
      <c r="O140" s="429"/>
    </row>
    <row r="141" spans="2:15" s="398" customFormat="1" ht="15" hidden="1" customHeight="1" x14ac:dyDescent="0.15">
      <c r="B141" s="423" t="str">
        <f t="shared" ref="B141:C141" si="70">+IF(B84="","",B84)</f>
        <v/>
      </c>
      <c r="C141" s="423" t="str">
        <f t="shared" si="70"/>
        <v/>
      </c>
      <c r="D141" s="426"/>
      <c r="E141" s="423" t="str">
        <f t="shared" si="54"/>
        <v/>
      </c>
      <c r="F141" s="423"/>
      <c r="G141" s="423"/>
      <c r="H141" s="428" t="str">
        <f t="shared" ref="H141:I141" si="71">+IF(H84="","",H84)</f>
        <v/>
      </c>
      <c r="I141" s="428" t="str">
        <f t="shared" si="71"/>
        <v/>
      </c>
      <c r="J141" s="424" t="str">
        <f>IFERROR(INDEX(確認申請料金表データ!C$110:Q$137,MATCH(E141,確認申請料金表データ!B$110:B$137,0),MATCH(C141,確認申請料金表データ!C$3:Q$3,0)),"")</f>
        <v/>
      </c>
      <c r="K141" s="425" t="str">
        <f t="shared" si="56"/>
        <v/>
      </c>
      <c r="L141" s="422" t="str">
        <f t="shared" si="57"/>
        <v/>
      </c>
      <c r="O141" s="429"/>
    </row>
    <row r="142" spans="2:15" s="398" customFormat="1" ht="15" hidden="1" customHeight="1" x14ac:dyDescent="0.15">
      <c r="B142" s="423" t="str">
        <f t="shared" ref="B142:C142" si="72">+IF(B85="","",B85)</f>
        <v/>
      </c>
      <c r="C142" s="423" t="str">
        <f t="shared" si="72"/>
        <v/>
      </c>
      <c r="D142" s="426"/>
      <c r="E142" s="423" t="str">
        <f t="shared" si="54"/>
        <v/>
      </c>
      <c r="F142" s="423"/>
      <c r="G142" s="423"/>
      <c r="H142" s="428" t="str">
        <f t="shared" ref="H142:I142" si="73">+IF(H85="","",H85)</f>
        <v/>
      </c>
      <c r="I142" s="428" t="str">
        <f t="shared" si="73"/>
        <v/>
      </c>
      <c r="J142" s="424" t="str">
        <f>IFERROR(INDEX(確認申請料金表データ!C$110:Q$137,MATCH(E142,確認申請料金表データ!B$110:B$137,0),MATCH(C142,確認申請料金表データ!C$3:Q$3,0)),"")</f>
        <v/>
      </c>
      <c r="K142" s="425" t="str">
        <f t="shared" si="56"/>
        <v/>
      </c>
      <c r="L142" s="422" t="str">
        <f t="shared" si="57"/>
        <v/>
      </c>
      <c r="O142" s="429"/>
    </row>
    <row r="143" spans="2:15" s="398" customFormat="1" ht="15" customHeight="1" x14ac:dyDescent="0.15">
      <c r="B143" s="423" t="str">
        <f t="shared" ref="B143:C163" si="74">+IF(B86="","",B86)</f>
        <v/>
      </c>
      <c r="C143" s="423" t="str">
        <f t="shared" si="74"/>
        <v/>
      </c>
      <c r="D143" s="426"/>
      <c r="E143" s="426"/>
      <c r="F143" s="423" t="str">
        <f t="shared" ref="F143:I145" si="75">+IF(F86="","",F86)</f>
        <v/>
      </c>
      <c r="G143" s="423" t="str">
        <f t="shared" si="75"/>
        <v/>
      </c>
      <c r="H143" s="428" t="str">
        <f t="shared" si="75"/>
        <v/>
      </c>
      <c r="I143" s="428" t="str">
        <f t="shared" si="75"/>
        <v/>
      </c>
      <c r="J143" s="424" t="str">
        <f>IFERROR(INDEX(確認申請料金表データ!C$110:Q$137,MATCH($K$16,確認申請料金表データ!B$110:B$137,0),MATCH($C143,確認申請料金表データ!C$3:Q$3,0)),"")</f>
        <v/>
      </c>
      <c r="K143" s="425" t="str">
        <f>IFERROR(+J143*H143,"")</f>
        <v/>
      </c>
      <c r="L143" s="422" t="str">
        <f t="shared" ref="L143:L163" si="76">+IF(L86="","",L86)</f>
        <v/>
      </c>
    </row>
    <row r="144" spans="2:15" s="398" customFormat="1" ht="15" customHeight="1" x14ac:dyDescent="0.15">
      <c r="B144" s="423" t="str">
        <f t="shared" si="74"/>
        <v/>
      </c>
      <c r="C144" s="423" t="str">
        <f t="shared" si="74"/>
        <v/>
      </c>
      <c r="D144" s="426"/>
      <c r="E144" s="426"/>
      <c r="F144" s="423" t="str">
        <f t="shared" si="75"/>
        <v/>
      </c>
      <c r="G144" s="423" t="str">
        <f t="shared" si="75"/>
        <v/>
      </c>
      <c r="H144" s="423" t="str">
        <f t="shared" si="75"/>
        <v/>
      </c>
      <c r="I144" s="423" t="str">
        <f t="shared" si="75"/>
        <v/>
      </c>
      <c r="J144" s="423" t="str">
        <f>+IF(J87="","",J87)</f>
        <v/>
      </c>
      <c r="K144" s="423" t="str">
        <f>+IF(K87="","",K87)</f>
        <v/>
      </c>
      <c r="L144" s="422" t="str">
        <f t="shared" si="76"/>
        <v/>
      </c>
      <c r="M144" s="423" t="str">
        <f>+IF(M87="","",M87)</f>
        <v/>
      </c>
    </row>
    <row r="145" spans="2:15" s="398" customFormat="1" ht="15" customHeight="1" x14ac:dyDescent="0.15">
      <c r="B145" s="423" t="str">
        <f t="shared" si="74"/>
        <v/>
      </c>
      <c r="C145" s="423" t="str">
        <f t="shared" si="74"/>
        <v/>
      </c>
      <c r="D145" s="426"/>
      <c r="E145" s="426"/>
      <c r="F145" s="423" t="str">
        <f t="shared" si="75"/>
        <v/>
      </c>
      <c r="G145" s="423" t="str">
        <f t="shared" si="75"/>
        <v/>
      </c>
      <c r="H145" s="423" t="str">
        <f t="shared" si="75"/>
        <v/>
      </c>
      <c r="I145" s="423" t="str">
        <f t="shared" si="75"/>
        <v/>
      </c>
      <c r="J145" s="423" t="str">
        <f>+IF(J88="","",J88)</f>
        <v/>
      </c>
      <c r="K145" s="423" t="str">
        <f>+IF(K88="","",K88)</f>
        <v/>
      </c>
      <c r="L145" s="422" t="str">
        <f t="shared" si="76"/>
        <v/>
      </c>
      <c r="M145" s="423" t="str">
        <f>+IF(M88="","",M88)</f>
        <v/>
      </c>
    </row>
    <row r="146" spans="2:15" s="398" customFormat="1" ht="15" customHeight="1" x14ac:dyDescent="0.15">
      <c r="B146" s="423" t="str">
        <f t="shared" si="74"/>
        <v>□</v>
      </c>
      <c r="C146" s="423" t="str">
        <f t="shared" si="74"/>
        <v>加算手数料</v>
      </c>
      <c r="D146" s="426"/>
      <c r="E146" s="426"/>
      <c r="F146" s="426"/>
      <c r="G146" s="426"/>
      <c r="H146" s="428" t="str">
        <f t="shared" ref="H146:I159" si="77">+IF(H89="","",H89)</f>
        <v/>
      </c>
      <c r="I146" s="428" t="str">
        <f t="shared" si="77"/>
        <v/>
      </c>
      <c r="J146" s="424"/>
      <c r="K146" s="425"/>
      <c r="L146" s="422" t="str">
        <f t="shared" si="76"/>
        <v/>
      </c>
    </row>
    <row r="147" spans="2:15" s="398" customFormat="1" ht="15" customHeight="1" x14ac:dyDescent="0.15">
      <c r="B147" s="423" t="str">
        <f t="shared" si="74"/>
        <v/>
      </c>
      <c r="C147" s="423" t="str">
        <f t="shared" si="74"/>
        <v/>
      </c>
      <c r="D147" s="426"/>
      <c r="E147" s="426"/>
      <c r="F147" s="426"/>
      <c r="G147" s="426"/>
      <c r="H147" s="428" t="str">
        <f t="shared" si="77"/>
        <v/>
      </c>
      <c r="I147" s="428" t="str">
        <f t="shared" si="77"/>
        <v/>
      </c>
      <c r="J147" s="424" t="str">
        <f>IFERROR(INDEX(確認申請料金表データ!X$110:AN$137,MATCH($K$16,確認申請料金表データ!B$110:B$137,0),MATCH(C147,確認申請料金表データ!X$3:AN$3,0)),"")</f>
        <v/>
      </c>
      <c r="K147" s="425" t="str">
        <f>IFERROR(+J147*H147,"")</f>
        <v/>
      </c>
      <c r="L147" s="422" t="str">
        <f t="shared" si="76"/>
        <v/>
      </c>
    </row>
    <row r="148" spans="2:15" s="398" customFormat="1" ht="15" customHeight="1" x14ac:dyDescent="0.15">
      <c r="B148" s="423" t="str">
        <f t="shared" si="74"/>
        <v/>
      </c>
      <c r="C148" s="423" t="str">
        <f t="shared" si="74"/>
        <v/>
      </c>
      <c r="D148" s="426"/>
      <c r="E148" s="426"/>
      <c r="F148" s="426"/>
      <c r="G148" s="426"/>
      <c r="H148" s="428" t="str">
        <f t="shared" si="77"/>
        <v/>
      </c>
      <c r="I148" s="428" t="str">
        <f t="shared" si="77"/>
        <v/>
      </c>
      <c r="J148" s="424" t="str">
        <f>IFERROR(INDEX(確認申請料金表データ!X$110:AN$137,MATCH($K$16,確認申請料金表データ!B$110:B$137,0),MATCH(C148,確認申請料金表データ!X$3:AN$3,0)),"")</f>
        <v/>
      </c>
      <c r="K148" s="425" t="str">
        <f t="shared" ref="K148:K151" si="78">IFERROR(+J148*H148,"")</f>
        <v/>
      </c>
      <c r="L148" s="422" t="str">
        <f t="shared" si="76"/>
        <v/>
      </c>
      <c r="O148" s="430"/>
    </row>
    <row r="149" spans="2:15" s="398" customFormat="1" ht="15" customHeight="1" x14ac:dyDescent="0.15">
      <c r="B149" s="423" t="str">
        <f t="shared" si="74"/>
        <v/>
      </c>
      <c r="C149" s="423" t="str">
        <f t="shared" si="74"/>
        <v/>
      </c>
      <c r="D149" s="426"/>
      <c r="E149" s="426"/>
      <c r="F149" s="426"/>
      <c r="G149" s="426"/>
      <c r="H149" s="428" t="str">
        <f t="shared" si="77"/>
        <v/>
      </c>
      <c r="I149" s="428" t="str">
        <f t="shared" si="77"/>
        <v/>
      </c>
      <c r="J149" s="424" t="str">
        <f>IFERROR(INDEX(確認申請料金表データ!X$110:AN$137,MATCH($K$16,確認申請料金表データ!B$110:B$137,0),MATCH(C149,確認申請料金表データ!X$3:AN$3,0)),"")</f>
        <v/>
      </c>
      <c r="K149" s="425" t="str">
        <f t="shared" si="78"/>
        <v/>
      </c>
      <c r="L149" s="422" t="str">
        <f t="shared" si="76"/>
        <v/>
      </c>
    </row>
    <row r="150" spans="2:15" s="398" customFormat="1" ht="15" customHeight="1" x14ac:dyDescent="0.15">
      <c r="B150" s="423" t="str">
        <f t="shared" si="74"/>
        <v/>
      </c>
      <c r="C150" s="423" t="str">
        <f t="shared" si="74"/>
        <v/>
      </c>
      <c r="D150" s="426"/>
      <c r="E150" s="426"/>
      <c r="F150" s="426"/>
      <c r="G150" s="426"/>
      <c r="H150" s="428" t="str">
        <f t="shared" si="77"/>
        <v/>
      </c>
      <c r="I150" s="428" t="str">
        <f t="shared" si="77"/>
        <v/>
      </c>
      <c r="J150" s="424" t="str">
        <f>IFERROR(INDEX(確認申請料金表データ!X$110:AN$137,MATCH($K$16,確認申請料金表データ!B$110:B$137,0),MATCH(C150,確認申請料金表データ!X$3:AN$3,0)),"")</f>
        <v/>
      </c>
      <c r="K150" s="425" t="str">
        <f t="shared" si="78"/>
        <v/>
      </c>
      <c r="L150" s="422" t="str">
        <f t="shared" si="76"/>
        <v/>
      </c>
    </row>
    <row r="151" spans="2:15" s="398" customFormat="1" ht="15" customHeight="1" x14ac:dyDescent="0.15">
      <c r="B151" s="423" t="str">
        <f t="shared" si="74"/>
        <v/>
      </c>
      <c r="C151" s="423" t="str">
        <f t="shared" si="74"/>
        <v/>
      </c>
      <c r="D151" s="426"/>
      <c r="E151" s="426"/>
      <c r="F151" s="426"/>
      <c r="G151" s="426"/>
      <c r="H151" s="428" t="str">
        <f t="shared" si="77"/>
        <v/>
      </c>
      <c r="I151" s="428" t="str">
        <f t="shared" si="77"/>
        <v/>
      </c>
      <c r="J151" s="424" t="str">
        <f>IFERROR(INDEX(確認申請料金表データ!X$110:AN$137,MATCH($K$16,確認申請料金表データ!B$110:B$137,0),MATCH(C151,確認申請料金表データ!X$3:AN$3,0)),"")</f>
        <v/>
      </c>
      <c r="K151" s="425" t="str">
        <f t="shared" si="78"/>
        <v/>
      </c>
      <c r="L151" s="422" t="str">
        <f t="shared" si="76"/>
        <v/>
      </c>
    </row>
    <row r="152" spans="2:15" s="398" customFormat="1" ht="15" customHeight="1" x14ac:dyDescent="0.15">
      <c r="B152" s="423" t="str">
        <f t="shared" si="74"/>
        <v/>
      </c>
      <c r="C152" s="423" t="str">
        <f t="shared" si="74"/>
        <v/>
      </c>
      <c r="D152" s="423"/>
      <c r="E152" s="423"/>
      <c r="F152" s="423"/>
      <c r="G152" s="423"/>
      <c r="H152" s="428" t="str">
        <f t="shared" si="77"/>
        <v/>
      </c>
      <c r="I152" s="428" t="str">
        <f t="shared" si="77"/>
        <v/>
      </c>
      <c r="J152" s="424" t="str">
        <f>IFERROR(INDEX(確認申請料金表データ!X$110:AN$137,MATCH($K$16,確認申請料金表データ!B$110:B$137,0),MATCH(C152,確認申請料金表データ!X$3:AN$3,0)),"")</f>
        <v/>
      </c>
      <c r="K152" s="425" t="str">
        <f>IFERROR(+J152*H152,"")</f>
        <v/>
      </c>
      <c r="L152" s="422" t="str">
        <f t="shared" si="76"/>
        <v/>
      </c>
    </row>
    <row r="153" spans="2:15" s="398" customFormat="1" ht="15" customHeight="1" x14ac:dyDescent="0.15">
      <c r="B153" s="423" t="str">
        <f t="shared" si="74"/>
        <v/>
      </c>
      <c r="C153" s="423" t="str">
        <f t="shared" si="74"/>
        <v/>
      </c>
      <c r="D153" s="423"/>
      <c r="E153" s="423"/>
      <c r="F153" s="423"/>
      <c r="G153" s="423"/>
      <c r="H153" s="428" t="str">
        <f t="shared" si="77"/>
        <v/>
      </c>
      <c r="I153" s="428" t="str">
        <f t="shared" si="77"/>
        <v/>
      </c>
      <c r="J153" s="424" t="str">
        <f>IFERROR(INDEX(確認申請料金表データ!X$110:AN$137,MATCH($K$16,確認申請料金表データ!B$110:B$137,0),MATCH(C153,確認申請料金表データ!X$3:AN$3,0)),"")</f>
        <v/>
      </c>
      <c r="K153" s="425" t="str">
        <f>IFERROR(+J153*H153,"")</f>
        <v/>
      </c>
      <c r="L153" s="422" t="str">
        <f t="shared" si="76"/>
        <v/>
      </c>
    </row>
    <row r="154" spans="2:15" s="398" customFormat="1" ht="15" customHeight="1" x14ac:dyDescent="0.15">
      <c r="B154" s="423" t="str">
        <f t="shared" si="74"/>
        <v/>
      </c>
      <c r="C154" s="423" t="str">
        <f t="shared" si="74"/>
        <v/>
      </c>
      <c r="D154" s="423"/>
      <c r="E154" s="423"/>
      <c r="F154" s="423"/>
      <c r="G154" s="423"/>
      <c r="H154" s="428" t="str">
        <f t="shared" si="77"/>
        <v/>
      </c>
      <c r="I154" s="428" t="str">
        <f t="shared" si="77"/>
        <v/>
      </c>
      <c r="J154" s="424" t="str">
        <f>IFERROR(INDEX(確認申請料金表データ!X$110:AN$137,MATCH($K$16,確認申請料金表データ!B$110:B$137,0),MATCH(C154,確認申請料金表データ!X$3:AN$3,0)),"")</f>
        <v/>
      </c>
      <c r="K154" s="425" t="str">
        <f t="shared" ref="K154" si="79">IFERROR(+J154*H154,"")</f>
        <v/>
      </c>
      <c r="L154" s="422" t="str">
        <f t="shared" si="76"/>
        <v/>
      </c>
    </row>
    <row r="155" spans="2:15" s="398" customFormat="1" ht="15" customHeight="1" x14ac:dyDescent="0.15">
      <c r="B155" s="423" t="str">
        <f t="shared" si="74"/>
        <v/>
      </c>
      <c r="C155" s="423" t="str">
        <f t="shared" si="74"/>
        <v/>
      </c>
      <c r="D155" s="423" t="str">
        <f>+IF(D98="","",D98)</f>
        <v/>
      </c>
      <c r="E155" s="423" t="str">
        <f>+IF(E98="","",E98)</f>
        <v/>
      </c>
      <c r="F155" s="423" t="str">
        <f>+IF(F98="","",F98)</f>
        <v/>
      </c>
      <c r="G155" s="423" t="str">
        <f>+IF(G98="","",G98)</f>
        <v/>
      </c>
      <c r="H155" s="423" t="str">
        <f t="shared" si="77"/>
        <v/>
      </c>
      <c r="I155" s="423" t="str">
        <f t="shared" si="77"/>
        <v/>
      </c>
      <c r="J155" s="423" t="str">
        <f>+IF(J98="","",J98)</f>
        <v/>
      </c>
      <c r="K155" s="423" t="str">
        <f>+IF(K98="","",K98)</f>
        <v/>
      </c>
      <c r="L155" s="422" t="str">
        <f t="shared" si="76"/>
        <v/>
      </c>
      <c r="O155" s="429"/>
    </row>
    <row r="156" spans="2:15" s="398" customFormat="1" ht="15" customHeight="1" x14ac:dyDescent="0.15">
      <c r="B156" s="423" t="str">
        <f t="shared" si="74"/>
        <v>□</v>
      </c>
      <c r="C156" s="423" t="str">
        <f t="shared" si="74"/>
        <v>省エネ基準省令に基づく基準による審査(仕様基準)</v>
      </c>
      <c r="D156" s="426"/>
      <c r="E156" s="426"/>
      <c r="F156" s="426"/>
      <c r="G156" s="426"/>
      <c r="H156" s="428" t="str">
        <f t="shared" si="77"/>
        <v/>
      </c>
      <c r="I156" s="428" t="str">
        <f t="shared" si="77"/>
        <v/>
      </c>
      <c r="J156" s="424"/>
      <c r="K156" s="425"/>
      <c r="L156" s="422" t="str">
        <f t="shared" si="76"/>
        <v/>
      </c>
    </row>
    <row r="157" spans="2:15" s="398" customFormat="1" ht="15" customHeight="1" x14ac:dyDescent="0.15">
      <c r="B157" s="423" t="str">
        <f t="shared" si="74"/>
        <v/>
      </c>
      <c r="C157" s="423" t="str">
        <f t="shared" si="74"/>
        <v/>
      </c>
      <c r="D157" s="426"/>
      <c r="E157" s="426"/>
      <c r="F157" s="426"/>
      <c r="G157" s="426"/>
      <c r="H157" s="428" t="str">
        <f t="shared" si="77"/>
        <v/>
      </c>
      <c r="I157" s="428" t="str">
        <f t="shared" si="77"/>
        <v/>
      </c>
      <c r="J157" s="424" t="str">
        <f>IFERROR(INDEX(確認申請料金表データ!S$110:V$137,MATCH($K$16,確認申請料金表データ!B$110:B$137,0),MATCH($C157,確認申請料金表データ!S$3:V$3,0)),"")</f>
        <v/>
      </c>
      <c r="K157" s="425" t="str">
        <f t="shared" ref="K157:K158" si="80">IFERROR(+J157*H157,"")</f>
        <v/>
      </c>
      <c r="L157" s="422" t="str">
        <f t="shared" si="76"/>
        <v/>
      </c>
    </row>
    <row r="158" spans="2:15" s="398" customFormat="1" ht="15" customHeight="1" x14ac:dyDescent="0.15">
      <c r="B158" s="423" t="str">
        <f t="shared" si="74"/>
        <v/>
      </c>
      <c r="C158" s="423" t="str">
        <f t="shared" si="74"/>
        <v/>
      </c>
      <c r="D158" s="426"/>
      <c r="E158" s="426"/>
      <c r="F158" s="426"/>
      <c r="G158" s="426"/>
      <c r="H158" s="428" t="str">
        <f t="shared" si="77"/>
        <v/>
      </c>
      <c r="I158" s="428" t="str">
        <f t="shared" si="77"/>
        <v/>
      </c>
      <c r="J158" s="424" t="str">
        <f>IFERROR(INDEX(確認申請料金表データ!S$110:V$137,MATCH($K$16,確認申請料金表データ!B$110:B$137,0),MATCH($C158,確認申請料金表データ!S$3:V$3,0)),"")</f>
        <v/>
      </c>
      <c r="K158" s="425" t="str">
        <f t="shared" si="80"/>
        <v/>
      </c>
      <c r="L158" s="422" t="str">
        <f t="shared" si="76"/>
        <v/>
      </c>
    </row>
    <row r="159" spans="2:15" s="398" customFormat="1" ht="15" customHeight="1" x14ac:dyDescent="0.15">
      <c r="B159" s="423" t="str">
        <f t="shared" si="74"/>
        <v/>
      </c>
      <c r="C159" s="423" t="str">
        <f t="shared" si="74"/>
        <v/>
      </c>
      <c r="D159" s="426"/>
      <c r="E159" s="426"/>
      <c r="F159" s="426"/>
      <c r="G159" s="426"/>
      <c r="H159" s="422" t="str">
        <f t="shared" si="77"/>
        <v/>
      </c>
      <c r="I159" s="422" t="str">
        <f t="shared" si="77"/>
        <v/>
      </c>
      <c r="J159" s="422" t="str">
        <f>+IF(J102="","",J102)</f>
        <v/>
      </c>
      <c r="K159" s="422" t="str">
        <f>+IF(K102="","",K102)</f>
        <v/>
      </c>
      <c r="L159" s="422" t="str">
        <f t="shared" si="76"/>
        <v/>
      </c>
    </row>
    <row r="160" spans="2:15" s="398" customFormat="1" ht="15" customHeight="1" x14ac:dyDescent="0.15">
      <c r="B160" s="423" t="str">
        <f t="shared" si="74"/>
        <v/>
      </c>
      <c r="C160" s="423" t="str">
        <f t="shared" si="74"/>
        <v/>
      </c>
      <c r="D160" s="431"/>
      <c r="E160" s="431"/>
      <c r="F160" s="431"/>
      <c r="G160" s="431"/>
      <c r="H160" s="432" t="s">
        <v>21</v>
      </c>
      <c r="I160" s="433"/>
      <c r="J160" s="433"/>
      <c r="K160" s="434">
        <f>SUM(K132:K158)</f>
        <v>40500</v>
      </c>
      <c r="L160" s="422" t="str">
        <f t="shared" si="76"/>
        <v>-</v>
      </c>
    </row>
    <row r="161" spans="2:27" s="398" customFormat="1" ht="15" customHeight="1" x14ac:dyDescent="0.15">
      <c r="B161" s="435" t="str">
        <f t="shared" si="74"/>
        <v>□</v>
      </c>
      <c r="C161" s="436" t="str">
        <f t="shared" si="74"/>
        <v>出張費及び交通費（当機関規定による）【課税対象、消費税込み】</v>
      </c>
      <c r="D161" s="437" t="str">
        <f t="shared" ref="D161:K162" si="81">+IF(D104="","",D104)</f>
        <v/>
      </c>
      <c r="E161" s="437" t="str">
        <f t="shared" si="81"/>
        <v/>
      </c>
      <c r="F161" s="437" t="str">
        <f t="shared" si="81"/>
        <v/>
      </c>
      <c r="G161" s="437" t="str">
        <f t="shared" si="81"/>
        <v/>
      </c>
      <c r="H161" s="438" t="str">
        <f t="shared" si="81"/>
        <v/>
      </c>
      <c r="I161" s="435" t="str">
        <f t="shared" si="81"/>
        <v/>
      </c>
      <c r="J161" s="439" t="str">
        <f t="shared" si="81"/>
        <v/>
      </c>
      <c r="K161" s="439" t="str">
        <f t="shared" si="81"/>
        <v/>
      </c>
      <c r="L161" s="435" t="str">
        <f t="shared" si="76"/>
        <v/>
      </c>
      <c r="M161" s="398" t="str">
        <f>+IF(M104="","",M104)</f>
        <v/>
      </c>
      <c r="N161" s="398" t="str">
        <f>+IF(N104="","",N104)</f>
        <v/>
      </c>
    </row>
    <row r="162" spans="2:27" s="398" customFormat="1" ht="15" customHeight="1" x14ac:dyDescent="0.15">
      <c r="B162" s="440" t="str">
        <f t="shared" si="74"/>
        <v/>
      </c>
      <c r="C162" s="440" t="str">
        <f t="shared" si="74"/>
        <v>出張交通費</v>
      </c>
      <c r="D162" s="441" t="str">
        <f t="shared" si="81"/>
        <v>東京都</v>
      </c>
      <c r="E162" s="426" t="str">
        <f t="shared" si="81"/>
        <v/>
      </c>
      <c r="F162" s="426" t="str">
        <f t="shared" si="81"/>
        <v/>
      </c>
      <c r="G162" s="442" t="str">
        <f t="shared" si="81"/>
        <v/>
      </c>
      <c r="H162" s="443">
        <f t="shared" si="81"/>
        <v>1</v>
      </c>
      <c r="I162" s="428" t="str">
        <f t="shared" si="81"/>
        <v>回</v>
      </c>
      <c r="J162" s="444">
        <f t="shared" si="81"/>
        <v>2200</v>
      </c>
      <c r="K162" s="425">
        <f t="shared" si="81"/>
        <v>2200</v>
      </c>
      <c r="L162" s="445" t="str">
        <f t="shared" si="76"/>
        <v>-</v>
      </c>
      <c r="M162" s="398" t="str">
        <f>+IF(M105="","",M105)</f>
        <v/>
      </c>
      <c r="O162" s="429"/>
    </row>
    <row r="163" spans="2:27" s="398" customFormat="1" ht="15" customHeight="1" x14ac:dyDescent="0.15">
      <c r="B163" s="446" t="str">
        <f t="shared" si="74"/>
        <v/>
      </c>
      <c r="C163" s="447" t="str">
        <f t="shared" si="74"/>
        <v/>
      </c>
      <c r="D163" s="447" t="str">
        <f>+IF(D106="","",D106)</f>
        <v/>
      </c>
      <c r="E163" s="447" t="str">
        <f>+IF(E106="","",E106)</f>
        <v/>
      </c>
      <c r="F163" s="447" t="str">
        <f>+IF(F106="","",F106)</f>
        <v/>
      </c>
      <c r="G163" s="447" t="str">
        <f>+IF(G106="","",G106)</f>
        <v/>
      </c>
      <c r="H163" s="448" t="str">
        <f>+IF(H106="","",H106)</f>
        <v>合     計</v>
      </c>
      <c r="I163" s="448"/>
      <c r="J163" s="449"/>
      <c r="K163" s="450">
        <f>+IF(K106="","",K106)</f>
        <v>2200</v>
      </c>
      <c r="L163" s="446" t="str">
        <f t="shared" si="76"/>
        <v>-</v>
      </c>
      <c r="M163" s="398" t="str">
        <f>+IF(M106="","",M106)</f>
        <v/>
      </c>
      <c r="N163" s="398" t="str">
        <f>+IF(N106="","",N106)</f>
        <v/>
      </c>
    </row>
    <row r="164" spans="2:27" s="398" customFormat="1" ht="15" customHeight="1" thickBot="1" x14ac:dyDescent="0.2">
      <c r="C164" s="398" t="s">
        <v>91</v>
      </c>
      <c r="H164" s="451" t="s">
        <v>2</v>
      </c>
      <c r="I164" s="451"/>
      <c r="J164" s="451"/>
      <c r="K164" s="452">
        <f>K160+K163</f>
        <v>42700</v>
      </c>
      <c r="L164" s="453" t="s">
        <v>1</v>
      </c>
    </row>
    <row r="165" spans="2:27" s="398" customFormat="1" ht="15" customHeight="1" thickTop="1" x14ac:dyDescent="0.15">
      <c r="B165" s="409"/>
      <c r="C165" s="412" t="s">
        <v>19</v>
      </c>
      <c r="I165" s="454"/>
      <c r="J165" s="454"/>
      <c r="K165" s="455"/>
      <c r="L165" s="412"/>
    </row>
    <row r="166" spans="2:27" s="398" customFormat="1" ht="15" customHeight="1" x14ac:dyDescent="0.15">
      <c r="C166" s="412" t="s">
        <v>22</v>
      </c>
    </row>
    <row r="167" spans="2:27" s="398" customFormat="1" ht="15" customHeight="1" x14ac:dyDescent="0.15">
      <c r="C167" s="412" t="s">
        <v>16</v>
      </c>
    </row>
    <row r="168" spans="2:27" s="398" customFormat="1" ht="15" customHeight="1" x14ac:dyDescent="0.15">
      <c r="C168" s="412" t="s">
        <v>20</v>
      </c>
    </row>
    <row r="169" spans="2:27" s="398" customFormat="1" ht="15" customHeight="1" x14ac:dyDescent="0.15">
      <c r="C169" s="412" t="s">
        <v>18</v>
      </c>
    </row>
    <row r="170" spans="2:27" s="392" customFormat="1" ht="15" customHeight="1" x14ac:dyDescent="0.15">
      <c r="C170" s="398"/>
      <c r="K170" s="456"/>
      <c r="O170" s="398"/>
    </row>
    <row r="171" spans="2:27" s="392" customFormat="1" ht="16.5" customHeight="1" x14ac:dyDescent="0.15">
      <c r="L171" s="456" t="s">
        <v>32</v>
      </c>
    </row>
    <row r="172" spans="2:27" s="392" customFormat="1" ht="19.5" customHeight="1" x14ac:dyDescent="0.15">
      <c r="B172" s="388" t="s">
        <v>29</v>
      </c>
      <c r="C172" s="389"/>
      <c r="D172" s="388"/>
      <c r="E172" s="390"/>
      <c r="F172" s="390"/>
      <c r="G172" s="390"/>
      <c r="H172" s="389"/>
      <c r="I172" s="389"/>
      <c r="J172" s="389"/>
      <c r="K172" s="389"/>
      <c r="L172" s="391" t="str">
        <f>+確認申請料金表データ!A211</f>
        <v>3.特約　確認および検査手数料20％off（加算手数料は通常通り）</v>
      </c>
      <c r="O172" s="393"/>
      <c r="P172" s="394"/>
      <c r="Q172" s="394"/>
      <c r="R172" s="394"/>
      <c r="S172" s="394"/>
      <c r="T172" s="393"/>
      <c r="U172" s="394"/>
      <c r="V172" s="394"/>
      <c r="W172" s="394"/>
      <c r="X172" s="394"/>
      <c r="Y172" s="394"/>
      <c r="Z172" s="394"/>
      <c r="AA172" s="394"/>
    </row>
    <row r="173" spans="2:27" s="392" customFormat="1" ht="15" customHeight="1" x14ac:dyDescent="0.15">
      <c r="E173" s="395"/>
      <c r="F173" s="395"/>
      <c r="G173" s="395"/>
      <c r="H173" s="395"/>
      <c r="I173" s="395"/>
      <c r="J173" s="762">
        <f ca="1">TODAY()</f>
        <v>45848</v>
      </c>
      <c r="K173" s="762"/>
      <c r="L173" s="395"/>
    </row>
    <row r="174" spans="2:27" s="392" customFormat="1" ht="15" customHeight="1" x14ac:dyDescent="0.15">
      <c r="E174" s="395"/>
      <c r="F174" s="395"/>
      <c r="G174" s="395"/>
      <c r="H174" s="395"/>
      <c r="I174" s="395"/>
      <c r="J174" s="396"/>
      <c r="K174" s="396"/>
      <c r="L174" s="395"/>
    </row>
    <row r="175" spans="2:27" s="392" customFormat="1" ht="15" customHeight="1" x14ac:dyDescent="0.15">
      <c r="C175" s="759" t="str">
        <f>+入力シート!$E$9&amp;"　　"&amp;入力シート!$G$9</f>
        <v>　　御中</v>
      </c>
      <c r="D175" s="791"/>
    </row>
    <row r="176" spans="2:27" s="392" customFormat="1" ht="15" customHeight="1" x14ac:dyDescent="0.15">
      <c r="C176" s="397" t="str">
        <f t="shared" ref="C176:C184" si="82">+IF(C119="","",C119)</f>
        <v/>
      </c>
    </row>
    <row r="177" spans="2:15" s="392" customFormat="1" ht="15" customHeight="1" x14ac:dyDescent="0.15">
      <c r="C177" s="392" t="str">
        <f t="shared" si="82"/>
        <v/>
      </c>
      <c r="H177" s="398" t="str">
        <f>+IF(H120="","",H120)</f>
        <v>〒150-0002  東京都渋谷区渋谷1-13-9</v>
      </c>
      <c r="I177" s="399"/>
    </row>
    <row r="178" spans="2:15" s="392" customFormat="1" ht="15" customHeight="1" x14ac:dyDescent="0.15">
      <c r="B178" s="392" t="str">
        <f t="shared" ref="B178:B186" si="83">+IF(B121="","",B121)</f>
        <v/>
      </c>
      <c r="C178" s="392" t="str">
        <f t="shared" si="82"/>
        <v/>
      </c>
      <c r="E178" s="392" t="str">
        <f t="shared" ref="E178:G188" si="84">+IF(E121="","",E121)</f>
        <v/>
      </c>
      <c r="F178" s="392" t="str">
        <f t="shared" si="84"/>
        <v/>
      </c>
      <c r="G178" s="392" t="str">
        <f t="shared" si="84"/>
        <v/>
      </c>
      <c r="H178" s="392" t="str">
        <f>+IF(H121="","",H121)</f>
        <v>株式会社 J 建築検査センター</v>
      </c>
      <c r="I178" s="400"/>
      <c r="L178" s="401"/>
      <c r="M178" s="401"/>
    </row>
    <row r="179" spans="2:15" s="392" customFormat="1" ht="15" customHeight="1" x14ac:dyDescent="0.15">
      <c r="B179" s="392" t="str">
        <f t="shared" si="83"/>
        <v/>
      </c>
      <c r="C179" s="392" t="str">
        <f t="shared" si="82"/>
        <v/>
      </c>
      <c r="E179" s="392" t="str">
        <f t="shared" si="84"/>
        <v/>
      </c>
      <c r="F179" s="392" t="str">
        <f t="shared" si="84"/>
        <v/>
      </c>
      <c r="G179" s="392" t="str">
        <f t="shared" si="84"/>
        <v/>
      </c>
      <c r="H179" s="398" t="str">
        <f>+IF(H122="","",H122)</f>
        <v>TEL:03-5464-7778　FAX:03-5464-7779</v>
      </c>
      <c r="I179" s="400"/>
      <c r="M179" s="392" t="str">
        <f>+IF(M122="","",M122)</f>
        <v/>
      </c>
    </row>
    <row r="180" spans="2:15" s="392" customFormat="1" ht="15" customHeight="1" x14ac:dyDescent="0.15">
      <c r="B180" s="392" t="str">
        <f t="shared" si="83"/>
        <v/>
      </c>
      <c r="C180" s="402" t="str">
        <f t="shared" si="82"/>
        <v>下記の通り、お見積申し上げます。</v>
      </c>
      <c r="E180" s="392" t="str">
        <f t="shared" si="84"/>
        <v/>
      </c>
      <c r="F180" s="392" t="str">
        <f t="shared" si="84"/>
        <v/>
      </c>
      <c r="G180" s="392" t="str">
        <f t="shared" si="84"/>
        <v/>
      </c>
      <c r="I180" s="400"/>
      <c r="M180" s="392" t="str">
        <f>+IF(M123="","",M123)</f>
        <v/>
      </c>
    </row>
    <row r="181" spans="2:15" s="392" customFormat="1" ht="11.25" customHeight="1" x14ac:dyDescent="0.15">
      <c r="B181" s="392" t="str">
        <f t="shared" si="83"/>
        <v/>
      </c>
      <c r="C181" s="403" t="str">
        <f t="shared" si="82"/>
        <v/>
      </c>
      <c r="D181" s="403"/>
      <c r="E181" s="403" t="str">
        <f t="shared" si="84"/>
        <v/>
      </c>
      <c r="F181" s="403" t="str">
        <f t="shared" si="84"/>
        <v/>
      </c>
      <c r="G181" s="403" t="str">
        <f t="shared" si="84"/>
        <v/>
      </c>
      <c r="H181" s="403"/>
      <c r="I181" s="403"/>
      <c r="J181" s="403"/>
      <c r="K181" s="403"/>
    </row>
    <row r="182" spans="2:15" s="394" customFormat="1" ht="24" customHeight="1" x14ac:dyDescent="0.15">
      <c r="B182" s="394" t="str">
        <f t="shared" si="83"/>
        <v/>
      </c>
      <c r="C182" s="404" t="str">
        <f t="shared" si="82"/>
        <v>件       名</v>
      </c>
      <c r="D182" s="764">
        <f>+IF(D125="","",D125)</f>
        <v>0</v>
      </c>
      <c r="E182" s="788" t="str">
        <f t="shared" si="84"/>
        <v/>
      </c>
      <c r="F182" s="788" t="str">
        <f t="shared" si="84"/>
        <v/>
      </c>
      <c r="G182" s="788" t="str">
        <f t="shared" si="84"/>
        <v/>
      </c>
      <c r="H182" s="788" t="str">
        <f t="shared" ref="H182:L185" si="85">+IF(H125="","",H125)</f>
        <v/>
      </c>
      <c r="I182" s="788" t="str">
        <f t="shared" si="85"/>
        <v/>
      </c>
      <c r="J182" s="788" t="str">
        <f t="shared" si="85"/>
        <v/>
      </c>
      <c r="K182" s="788" t="str">
        <f t="shared" si="85"/>
        <v/>
      </c>
      <c r="L182" s="394" t="str">
        <f t="shared" si="85"/>
        <v/>
      </c>
    </row>
    <row r="183" spans="2:15" s="394" customFormat="1" ht="24" customHeight="1" x14ac:dyDescent="0.15">
      <c r="B183" s="394" t="str">
        <f t="shared" si="83"/>
        <v/>
      </c>
      <c r="C183" s="405" t="str">
        <f t="shared" si="82"/>
        <v>総　　　額</v>
      </c>
      <c r="D183" s="406">
        <f>+K221</f>
        <v>38200</v>
      </c>
      <c r="E183" s="407" t="str">
        <f t="shared" si="84"/>
        <v>-</v>
      </c>
      <c r="F183" s="407" t="str">
        <f t="shared" si="84"/>
        <v/>
      </c>
      <c r="G183" s="407" t="str">
        <f t="shared" si="84"/>
        <v/>
      </c>
      <c r="H183" s="407" t="str">
        <f t="shared" si="85"/>
        <v/>
      </c>
      <c r="I183" s="408" t="str">
        <f t="shared" si="85"/>
        <v/>
      </c>
      <c r="J183" s="408" t="str">
        <f t="shared" si="85"/>
        <v/>
      </c>
      <c r="K183" s="408" t="str">
        <f t="shared" si="85"/>
        <v/>
      </c>
      <c r="L183" s="394" t="str">
        <f t="shared" si="85"/>
        <v/>
      </c>
    </row>
    <row r="184" spans="2:15" s="398" customFormat="1" ht="15" customHeight="1" x14ac:dyDescent="0.15">
      <c r="B184" s="409" t="str">
        <f t="shared" si="83"/>
        <v/>
      </c>
      <c r="C184" s="410" t="str">
        <f t="shared" si="82"/>
        <v>御見積書有効期限：</v>
      </c>
      <c r="D184" s="411" t="str">
        <f>+IF(D127="","",D127)</f>
        <v>1ヶ月</v>
      </c>
      <c r="E184" s="412" t="str">
        <f t="shared" si="84"/>
        <v>御支払条件：</v>
      </c>
      <c r="F184" s="410" t="str">
        <f t="shared" si="84"/>
        <v/>
      </c>
      <c r="G184" s="763" t="str">
        <f t="shared" si="84"/>
        <v/>
      </c>
      <c r="H184" s="789" t="str">
        <f t="shared" si="85"/>
        <v/>
      </c>
      <c r="I184" s="789" t="str">
        <f t="shared" si="85"/>
        <v/>
      </c>
      <c r="J184" s="789" t="str">
        <f t="shared" si="85"/>
        <v/>
      </c>
      <c r="K184" s="789" t="str">
        <f t="shared" si="85"/>
        <v/>
      </c>
      <c r="L184" s="398" t="str">
        <f t="shared" si="85"/>
        <v/>
      </c>
      <c r="M184" s="398" t="str">
        <f>+IF(M127="","",M127)</f>
        <v/>
      </c>
      <c r="O184" s="394"/>
    </row>
    <row r="185" spans="2:15" s="398" customFormat="1" ht="15" customHeight="1" x14ac:dyDescent="0.15">
      <c r="B185" s="760" t="str">
        <f t="shared" si="83"/>
        <v>品    名　・　摘    要</v>
      </c>
      <c r="C185" s="760"/>
      <c r="D185" s="760" t="str">
        <f>+IF(D128="","",D128)</f>
        <v/>
      </c>
      <c r="E185" s="760" t="str">
        <f t="shared" si="84"/>
        <v/>
      </c>
      <c r="F185" s="760" t="str">
        <f t="shared" si="84"/>
        <v/>
      </c>
      <c r="G185" s="760" t="str">
        <f t="shared" si="84"/>
        <v/>
      </c>
      <c r="H185" s="413" t="str">
        <f t="shared" si="85"/>
        <v>数  量</v>
      </c>
      <c r="I185" s="414" t="str">
        <f t="shared" si="85"/>
        <v>単位</v>
      </c>
      <c r="J185" s="415" t="str">
        <f t="shared" si="85"/>
        <v>単     価</v>
      </c>
      <c r="K185" s="761" t="str">
        <f t="shared" si="85"/>
        <v>金        額</v>
      </c>
      <c r="L185" s="760" t="str">
        <f t="shared" si="85"/>
        <v/>
      </c>
      <c r="M185" s="398" t="str">
        <f>+IF(M128="","",M128)</f>
        <v/>
      </c>
      <c r="O185" s="394"/>
    </row>
    <row r="186" spans="2:15" s="398" customFormat="1" ht="15" customHeight="1" x14ac:dyDescent="0.15">
      <c r="B186" s="416" t="str">
        <f t="shared" si="83"/>
        <v/>
      </c>
      <c r="C186" s="417" t="str">
        <f>+IF(C129="","",C129)</f>
        <v>'地名・地番:</v>
      </c>
      <c r="D186" s="786" t="str">
        <f>+IF(D129="","",D129)</f>
        <v>東京都</v>
      </c>
      <c r="E186" s="787" t="str">
        <f t="shared" si="84"/>
        <v/>
      </c>
      <c r="F186" s="787" t="str">
        <f t="shared" si="84"/>
        <v/>
      </c>
      <c r="G186" s="787" t="str">
        <f t="shared" si="84"/>
        <v/>
      </c>
      <c r="H186" s="418" t="e">
        <f>+IF(H129="","",H129)</f>
        <v>#REF!</v>
      </c>
      <c r="I186" s="418"/>
      <c r="J186" s="419" t="str">
        <f t="shared" ref="J186:L187" si="86">+IF(J129="","",J129)</f>
        <v>一戸建ての住宅</v>
      </c>
      <c r="K186" s="420" t="str">
        <f t="shared" si="86"/>
        <v/>
      </c>
      <c r="L186" s="420" t="str">
        <f t="shared" si="86"/>
        <v/>
      </c>
      <c r="O186" s="394"/>
    </row>
    <row r="187" spans="2:15" s="398" customFormat="1" ht="15" customHeight="1" x14ac:dyDescent="0.15">
      <c r="B187" s="421" t="str">
        <f>+IF(B133="","",B133)</f>
        <v/>
      </c>
      <c r="C187" s="419" t="str">
        <f>+IF(C130="","",C130)</f>
        <v>構造・規模:</v>
      </c>
      <c r="D187" s="419" t="str">
        <f>+IF(D130="","",D130)</f>
        <v>木造</v>
      </c>
      <c r="E187" s="419" t="str">
        <f t="shared" si="84"/>
        <v>：地上</v>
      </c>
      <c r="F187" s="419">
        <f t="shared" si="84"/>
        <v>2</v>
      </c>
      <c r="G187" s="419" t="str">
        <f t="shared" si="84"/>
        <v>階、地下</v>
      </c>
      <c r="H187" s="419" t="str">
        <f>+IF(H130="","",H130)</f>
        <v>-</v>
      </c>
      <c r="I187" s="419" t="str">
        <f>+IF(I130="","",I130)</f>
        <v>階</v>
      </c>
      <c r="J187" s="419" t="str">
        <f t="shared" si="86"/>
        <v>：延べ面積</v>
      </c>
      <c r="K187" s="419" t="str">
        <f t="shared" si="86"/>
        <v>0-100㎡以内(3号)</v>
      </c>
      <c r="L187" s="422" t="str">
        <f t="shared" si="86"/>
        <v/>
      </c>
      <c r="O187" s="394"/>
    </row>
    <row r="188" spans="2:15" s="398" customFormat="1" ht="15" customHeight="1" x14ac:dyDescent="0.15">
      <c r="B188" s="423" t="str">
        <f>+IF(B131="","",B131)</f>
        <v>■</v>
      </c>
      <c r="C188" s="423" t="str">
        <f>+IF(C131="","",C131)</f>
        <v>確認申請業務【非課税】</v>
      </c>
      <c r="D188" s="423" t="str">
        <f>+IF(D131="","",D131)</f>
        <v/>
      </c>
      <c r="E188" s="423" t="str">
        <f t="shared" si="84"/>
        <v/>
      </c>
      <c r="F188" s="423" t="str">
        <f t="shared" si="84"/>
        <v/>
      </c>
      <c r="G188" s="423" t="str">
        <f t="shared" si="84"/>
        <v/>
      </c>
      <c r="H188" s="423" t="str">
        <f>+IF(H131="","",H131)</f>
        <v/>
      </c>
      <c r="I188" s="423" t="str">
        <f>+IF(I131="","",I131)</f>
        <v/>
      </c>
      <c r="J188" s="424"/>
      <c r="K188" s="425"/>
      <c r="L188" s="422" t="str">
        <f>+IF(L131="","",L131)</f>
        <v/>
      </c>
    </row>
    <row r="189" spans="2:15" s="398" customFormat="1" ht="15" customHeight="1" x14ac:dyDescent="0.15">
      <c r="B189" s="423" t="str">
        <f>+IF(B132="","",B132)</f>
        <v>・</v>
      </c>
      <c r="C189" s="423" t="str">
        <f>+IF(C132="","",C132)</f>
        <v>確認申請(計画通知)基本手数料</v>
      </c>
      <c r="D189" s="426"/>
      <c r="E189" s="427"/>
      <c r="F189" s="423" t="str">
        <f>+IF(F132="","",F132)</f>
        <v/>
      </c>
      <c r="G189" s="423" t="str">
        <f>+IF(G132="","",G132)</f>
        <v/>
      </c>
      <c r="H189" s="428">
        <f>+IF(H132="","",H132)</f>
        <v>1</v>
      </c>
      <c r="I189" s="428" t="str">
        <f>+IF(I132="","",I132)</f>
        <v>式</v>
      </c>
      <c r="J189" s="424">
        <f>IFERROR(INDEX(確認申請料金表データ!C$214:Q$241,MATCH($K$16,確認申請料金表データ!B$214:B$241,0),MATCH($C189,確認申請料金表データ!C$3:Q$3,0)),"")</f>
        <v>36000</v>
      </c>
      <c r="K189" s="425">
        <f>IFERROR(+J189*H189,"")</f>
        <v>36000</v>
      </c>
      <c r="L189" s="422" t="str">
        <f>+IF(L132="","",L132)</f>
        <v>-</v>
      </c>
    </row>
    <row r="190" spans="2:15" s="398" customFormat="1" ht="15" customHeight="1" x14ac:dyDescent="0.15">
      <c r="B190" s="423" t="str">
        <f>+IF(B133="","",B133)</f>
        <v/>
      </c>
      <c r="C190" s="423" t="str">
        <f>+IF(C133="","",C133)</f>
        <v/>
      </c>
      <c r="D190" s="426"/>
      <c r="E190" s="423" t="str">
        <f>+IF(E133="","",E133)</f>
        <v/>
      </c>
      <c r="F190" s="423"/>
      <c r="G190" s="423"/>
      <c r="H190" s="428" t="str">
        <f>+IF(H133="","",H133)</f>
        <v/>
      </c>
      <c r="I190" s="428" t="str">
        <f>+IF(I133="","",I133)</f>
        <v/>
      </c>
      <c r="J190" s="424" t="str">
        <f>IFERROR(INDEX(確認申請料金表データ!C$214:Q$241,MATCH(E190,確認申請料金表データ!B$214:B$241,0),MATCH(C190,確認申請料金表データ!C$3:Q$3,0)),"")</f>
        <v/>
      </c>
      <c r="K190" s="425" t="str">
        <f>IFERROR(+J190*H190,"")</f>
        <v/>
      </c>
      <c r="L190" s="422" t="str">
        <f>+IF(L133="","",L133)</f>
        <v/>
      </c>
    </row>
    <row r="191" spans="2:15" s="398" customFormat="1" ht="15" customHeight="1" x14ac:dyDescent="0.15">
      <c r="B191" s="423" t="str">
        <f t="shared" ref="B191:C191" si="87">+IF(B134="","",B134)</f>
        <v/>
      </c>
      <c r="C191" s="423" t="str">
        <f t="shared" si="87"/>
        <v/>
      </c>
      <c r="D191" s="426"/>
      <c r="E191" s="423" t="str">
        <f t="shared" ref="E191:E199" si="88">+IF(E134="","",E134)</f>
        <v/>
      </c>
      <c r="F191" s="423"/>
      <c r="G191" s="423"/>
      <c r="H191" s="428" t="str">
        <f t="shared" ref="H191:I191" si="89">+IF(H134="","",H134)</f>
        <v/>
      </c>
      <c r="I191" s="428" t="str">
        <f t="shared" si="89"/>
        <v/>
      </c>
      <c r="J191" s="424" t="str">
        <f>IFERROR(INDEX(確認申請料金表データ!C$214:Q$241,MATCH(E191,確認申請料金表データ!B$214:B$241,0),MATCH(C191,確認申請料金表データ!C$3:Q$3,0)),"")</f>
        <v/>
      </c>
      <c r="K191" s="425" t="str">
        <f t="shared" ref="K191:K199" si="90">IFERROR(+J191*H191,"")</f>
        <v/>
      </c>
      <c r="L191" s="422" t="str">
        <f t="shared" ref="L191:L199" si="91">+IF(L134="","",L134)</f>
        <v/>
      </c>
      <c r="O191" s="429"/>
    </row>
    <row r="192" spans="2:15" s="398" customFormat="1" ht="15" customHeight="1" x14ac:dyDescent="0.15">
      <c r="B192" s="423" t="str">
        <f t="shared" ref="B192:C192" si="92">+IF(B135="","",B135)</f>
        <v/>
      </c>
      <c r="C192" s="423" t="str">
        <f t="shared" si="92"/>
        <v/>
      </c>
      <c r="D192" s="426"/>
      <c r="E192" s="423" t="str">
        <f t="shared" si="88"/>
        <v/>
      </c>
      <c r="F192" s="423"/>
      <c r="G192" s="423"/>
      <c r="H192" s="428" t="str">
        <f t="shared" ref="H192:I192" si="93">+IF(H135="","",H135)</f>
        <v/>
      </c>
      <c r="I192" s="428" t="str">
        <f t="shared" si="93"/>
        <v/>
      </c>
      <c r="J192" s="424" t="str">
        <f>IFERROR(INDEX(確認申請料金表データ!C$214:Q$241,MATCH(E192,確認申請料金表データ!B$214:B$241,0),MATCH(C192,確認申請料金表データ!C$3:Q$3,0)),"")</f>
        <v/>
      </c>
      <c r="K192" s="425" t="str">
        <f t="shared" si="90"/>
        <v/>
      </c>
      <c r="L192" s="422" t="str">
        <f t="shared" si="91"/>
        <v/>
      </c>
      <c r="O192" s="429"/>
    </row>
    <row r="193" spans="2:15" s="398" customFormat="1" ht="15" hidden="1" customHeight="1" x14ac:dyDescent="0.15">
      <c r="B193" s="423" t="str">
        <f t="shared" ref="B193:C193" si="94">+IF(B136="","",B136)</f>
        <v/>
      </c>
      <c r="C193" s="423" t="str">
        <f t="shared" si="94"/>
        <v/>
      </c>
      <c r="D193" s="426"/>
      <c r="E193" s="423" t="str">
        <f t="shared" si="88"/>
        <v/>
      </c>
      <c r="F193" s="423"/>
      <c r="G193" s="423"/>
      <c r="H193" s="428" t="str">
        <f t="shared" ref="H193:I193" si="95">+IF(H136="","",H136)</f>
        <v/>
      </c>
      <c r="I193" s="428" t="str">
        <f t="shared" si="95"/>
        <v/>
      </c>
      <c r="J193" s="424" t="str">
        <f>IFERROR(INDEX(確認申請料金表データ!C$214:Q$241,MATCH(E193,確認申請料金表データ!B$214:B$241,0),MATCH(C193,確認申請料金表データ!C$3:Q$3,0)),"")</f>
        <v/>
      </c>
      <c r="K193" s="425" t="str">
        <f t="shared" si="90"/>
        <v/>
      </c>
      <c r="L193" s="422" t="str">
        <f t="shared" si="91"/>
        <v/>
      </c>
      <c r="O193" s="429"/>
    </row>
    <row r="194" spans="2:15" s="398" customFormat="1" ht="15" hidden="1" customHeight="1" x14ac:dyDescent="0.15">
      <c r="B194" s="423" t="str">
        <f t="shared" ref="B194:C194" si="96">+IF(B137="","",B137)</f>
        <v/>
      </c>
      <c r="C194" s="423" t="str">
        <f t="shared" si="96"/>
        <v/>
      </c>
      <c r="D194" s="426"/>
      <c r="E194" s="423" t="str">
        <f t="shared" si="88"/>
        <v/>
      </c>
      <c r="F194" s="423"/>
      <c r="G194" s="423"/>
      <c r="H194" s="428" t="str">
        <f t="shared" ref="H194:I194" si="97">+IF(H137="","",H137)</f>
        <v/>
      </c>
      <c r="I194" s="428" t="str">
        <f t="shared" si="97"/>
        <v/>
      </c>
      <c r="J194" s="424" t="str">
        <f>IFERROR(INDEX(確認申請料金表データ!C$214:Q$241,MATCH(E194,確認申請料金表データ!B$214:B$241,0),MATCH(C194,確認申請料金表データ!C$3:Q$3,0)),"")</f>
        <v/>
      </c>
      <c r="K194" s="425" t="str">
        <f t="shared" si="90"/>
        <v/>
      </c>
      <c r="L194" s="422" t="str">
        <f t="shared" si="91"/>
        <v/>
      </c>
      <c r="O194" s="429"/>
    </row>
    <row r="195" spans="2:15" s="398" customFormat="1" ht="15" hidden="1" customHeight="1" x14ac:dyDescent="0.15">
      <c r="B195" s="423" t="str">
        <f t="shared" ref="B195:C195" si="98">+IF(B138="","",B138)</f>
        <v/>
      </c>
      <c r="C195" s="423" t="str">
        <f t="shared" si="98"/>
        <v/>
      </c>
      <c r="D195" s="426"/>
      <c r="E195" s="423" t="str">
        <f t="shared" si="88"/>
        <v/>
      </c>
      <c r="F195" s="423"/>
      <c r="G195" s="423"/>
      <c r="H195" s="428" t="str">
        <f t="shared" ref="H195:I195" si="99">+IF(H138="","",H138)</f>
        <v/>
      </c>
      <c r="I195" s="428" t="str">
        <f t="shared" si="99"/>
        <v/>
      </c>
      <c r="J195" s="424" t="str">
        <f>IFERROR(INDEX(確認申請料金表データ!C$214:Q$241,MATCH(E195,確認申請料金表データ!B$214:B$241,0),MATCH(C195,確認申請料金表データ!C$3:Q$3,0)),"")</f>
        <v/>
      </c>
      <c r="K195" s="425" t="str">
        <f t="shared" si="90"/>
        <v/>
      </c>
      <c r="L195" s="422" t="str">
        <f t="shared" si="91"/>
        <v/>
      </c>
      <c r="O195" s="429"/>
    </row>
    <row r="196" spans="2:15" s="398" customFormat="1" ht="15" hidden="1" customHeight="1" x14ac:dyDescent="0.15">
      <c r="B196" s="423" t="str">
        <f t="shared" ref="B196:C196" si="100">+IF(B139="","",B139)</f>
        <v/>
      </c>
      <c r="C196" s="423" t="str">
        <f t="shared" si="100"/>
        <v/>
      </c>
      <c r="D196" s="426"/>
      <c r="E196" s="423" t="str">
        <f t="shared" si="88"/>
        <v/>
      </c>
      <c r="F196" s="423"/>
      <c r="G196" s="423"/>
      <c r="H196" s="428" t="str">
        <f t="shared" ref="H196:I196" si="101">+IF(H139="","",H139)</f>
        <v/>
      </c>
      <c r="I196" s="428" t="str">
        <f t="shared" si="101"/>
        <v/>
      </c>
      <c r="J196" s="424" t="str">
        <f>IFERROR(INDEX(確認申請料金表データ!C$214:Q$241,MATCH(E196,確認申請料金表データ!B$214:B$241,0),MATCH(C196,確認申請料金表データ!C$3:Q$3,0)),"")</f>
        <v/>
      </c>
      <c r="K196" s="425" t="str">
        <f t="shared" si="90"/>
        <v/>
      </c>
      <c r="L196" s="422" t="str">
        <f t="shared" si="91"/>
        <v/>
      </c>
      <c r="O196" s="429"/>
    </row>
    <row r="197" spans="2:15" s="398" customFormat="1" ht="15" hidden="1" customHeight="1" x14ac:dyDescent="0.15">
      <c r="B197" s="423" t="str">
        <f t="shared" ref="B197:C197" si="102">+IF(B140="","",B140)</f>
        <v/>
      </c>
      <c r="C197" s="423" t="str">
        <f t="shared" si="102"/>
        <v/>
      </c>
      <c r="D197" s="426"/>
      <c r="E197" s="423" t="str">
        <f t="shared" si="88"/>
        <v/>
      </c>
      <c r="F197" s="423"/>
      <c r="G197" s="423"/>
      <c r="H197" s="428" t="str">
        <f t="shared" ref="H197:I197" si="103">+IF(H140="","",H140)</f>
        <v/>
      </c>
      <c r="I197" s="428" t="str">
        <f t="shared" si="103"/>
        <v/>
      </c>
      <c r="J197" s="424" t="str">
        <f>IFERROR(INDEX(確認申請料金表データ!C$214:Q$241,MATCH(E197,確認申請料金表データ!B$214:B$241,0),MATCH(C197,確認申請料金表データ!C$3:Q$3,0)),"")</f>
        <v/>
      </c>
      <c r="K197" s="425" t="str">
        <f t="shared" si="90"/>
        <v/>
      </c>
      <c r="L197" s="422" t="str">
        <f t="shared" si="91"/>
        <v/>
      </c>
      <c r="O197" s="429"/>
    </row>
    <row r="198" spans="2:15" s="398" customFormat="1" ht="15" hidden="1" customHeight="1" x14ac:dyDescent="0.15">
      <c r="B198" s="423" t="str">
        <f t="shared" ref="B198:C198" si="104">+IF(B141="","",B141)</f>
        <v/>
      </c>
      <c r="C198" s="423" t="str">
        <f t="shared" si="104"/>
        <v/>
      </c>
      <c r="D198" s="426"/>
      <c r="E198" s="423" t="str">
        <f t="shared" si="88"/>
        <v/>
      </c>
      <c r="F198" s="423"/>
      <c r="G198" s="423"/>
      <c r="H198" s="428" t="str">
        <f t="shared" ref="H198:I198" si="105">+IF(H141="","",H141)</f>
        <v/>
      </c>
      <c r="I198" s="428" t="str">
        <f t="shared" si="105"/>
        <v/>
      </c>
      <c r="J198" s="424" t="str">
        <f>IFERROR(INDEX(確認申請料金表データ!C$214:Q$241,MATCH(E198,確認申請料金表データ!B$214:B$241,0),MATCH(C198,確認申請料金表データ!C$3:Q$3,0)),"")</f>
        <v/>
      </c>
      <c r="K198" s="425" t="str">
        <f t="shared" si="90"/>
        <v/>
      </c>
      <c r="L198" s="422" t="str">
        <f t="shared" si="91"/>
        <v/>
      </c>
      <c r="O198" s="429"/>
    </row>
    <row r="199" spans="2:15" s="398" customFormat="1" ht="15" hidden="1" customHeight="1" x14ac:dyDescent="0.15">
      <c r="B199" s="423" t="str">
        <f t="shared" ref="B199:C199" si="106">+IF(B142="","",B142)</f>
        <v/>
      </c>
      <c r="C199" s="423" t="str">
        <f t="shared" si="106"/>
        <v/>
      </c>
      <c r="D199" s="426"/>
      <c r="E199" s="423" t="str">
        <f t="shared" si="88"/>
        <v/>
      </c>
      <c r="F199" s="423"/>
      <c r="G199" s="423"/>
      <c r="H199" s="428" t="str">
        <f t="shared" ref="H199:I199" si="107">+IF(H142="","",H142)</f>
        <v/>
      </c>
      <c r="I199" s="428" t="str">
        <f t="shared" si="107"/>
        <v/>
      </c>
      <c r="J199" s="424" t="str">
        <f>IFERROR(INDEX(確認申請料金表データ!C$214:Q$241,MATCH(E199,確認申請料金表データ!B$214:B$241,0),MATCH(C199,確認申請料金表データ!C$3:Q$3,0)),"")</f>
        <v/>
      </c>
      <c r="K199" s="425" t="str">
        <f t="shared" si="90"/>
        <v/>
      </c>
      <c r="L199" s="422" t="str">
        <f t="shared" si="91"/>
        <v/>
      </c>
      <c r="O199" s="429"/>
    </row>
    <row r="200" spans="2:15" s="398" customFormat="1" ht="15" customHeight="1" x14ac:dyDescent="0.15">
      <c r="B200" s="423" t="str">
        <f t="shared" ref="B200:C220" si="108">+IF(B143="","",B143)</f>
        <v/>
      </c>
      <c r="C200" s="423" t="str">
        <f t="shared" si="108"/>
        <v/>
      </c>
      <c r="D200" s="426"/>
      <c r="E200" s="426"/>
      <c r="F200" s="423"/>
      <c r="G200" s="423"/>
      <c r="H200" s="428" t="str">
        <f t="shared" ref="H200:I216" si="109">+IF(H143="","",H143)</f>
        <v/>
      </c>
      <c r="I200" s="428" t="str">
        <f t="shared" si="109"/>
        <v/>
      </c>
      <c r="J200" s="424" t="str">
        <f>IFERROR(INDEX(確認申請料金表データ!C$214:Q$241,MATCH($K$16,確認申請料金表データ!B$214:B$241,0),MATCH($C200,確認申請料金表データ!C$3:Q$3,0)),"")</f>
        <v/>
      </c>
      <c r="K200" s="425" t="str">
        <f>IFERROR(+J200*H200,"")</f>
        <v/>
      </c>
      <c r="L200" s="422" t="str">
        <f t="shared" ref="L200:L220" si="110">+IF(L143="","",L143)</f>
        <v/>
      </c>
    </row>
    <row r="201" spans="2:15" s="398" customFormat="1" ht="15" customHeight="1" x14ac:dyDescent="0.15">
      <c r="B201" s="423" t="str">
        <f t="shared" si="108"/>
        <v/>
      </c>
      <c r="C201" s="423" t="str">
        <f t="shared" si="108"/>
        <v/>
      </c>
      <c r="D201" s="426"/>
      <c r="E201" s="426"/>
      <c r="F201" s="423" t="str">
        <f>+IF(F144="","",F144)</f>
        <v/>
      </c>
      <c r="G201" s="423" t="str">
        <f>+IF(G144="","",G144)</f>
        <v/>
      </c>
      <c r="H201" s="423" t="str">
        <f t="shared" si="109"/>
        <v/>
      </c>
      <c r="I201" s="423" t="str">
        <f t="shared" si="109"/>
        <v/>
      </c>
      <c r="J201" s="423" t="str">
        <f>+IF(J144="","",J144)</f>
        <v/>
      </c>
      <c r="K201" s="423" t="str">
        <f>+IF(K144="","",K144)</f>
        <v/>
      </c>
      <c r="L201" s="422" t="str">
        <f t="shared" si="110"/>
        <v/>
      </c>
      <c r="M201" s="423" t="str">
        <f>+IF(M144="","",M144)</f>
        <v/>
      </c>
    </row>
    <row r="202" spans="2:15" s="398" customFormat="1" ht="15" customHeight="1" x14ac:dyDescent="0.15">
      <c r="B202" s="423" t="str">
        <f t="shared" si="108"/>
        <v/>
      </c>
      <c r="C202" s="423" t="str">
        <f t="shared" si="108"/>
        <v/>
      </c>
      <c r="D202" s="426"/>
      <c r="E202" s="426"/>
      <c r="F202" s="426"/>
      <c r="G202" s="426"/>
      <c r="H202" s="423" t="str">
        <f t="shared" si="109"/>
        <v/>
      </c>
      <c r="I202" s="423" t="str">
        <f t="shared" si="109"/>
        <v/>
      </c>
      <c r="J202" s="423" t="str">
        <f>+IF(J145="","",J145)</f>
        <v/>
      </c>
      <c r="K202" s="423" t="str">
        <f>+IF(K145="","",K145)</f>
        <v/>
      </c>
      <c r="L202" s="422" t="str">
        <f t="shared" si="110"/>
        <v/>
      </c>
      <c r="M202" s="423" t="str">
        <f>+IF(M145="","",M145)</f>
        <v/>
      </c>
    </row>
    <row r="203" spans="2:15" s="398" customFormat="1" ht="15" customHeight="1" x14ac:dyDescent="0.15">
      <c r="B203" s="423" t="str">
        <f t="shared" si="108"/>
        <v>□</v>
      </c>
      <c r="C203" s="423" t="str">
        <f t="shared" si="108"/>
        <v>加算手数料</v>
      </c>
      <c r="D203" s="426"/>
      <c r="E203" s="426"/>
      <c r="F203" s="426"/>
      <c r="G203" s="426"/>
      <c r="H203" s="428" t="str">
        <f t="shared" si="109"/>
        <v/>
      </c>
      <c r="I203" s="428" t="str">
        <f t="shared" si="109"/>
        <v/>
      </c>
      <c r="J203" s="424"/>
      <c r="K203" s="425"/>
      <c r="L203" s="422" t="str">
        <f t="shared" si="110"/>
        <v/>
      </c>
    </row>
    <row r="204" spans="2:15" s="398" customFormat="1" ht="15" customHeight="1" x14ac:dyDescent="0.15">
      <c r="B204" s="423" t="str">
        <f t="shared" si="108"/>
        <v/>
      </c>
      <c r="C204" s="423" t="str">
        <f t="shared" si="108"/>
        <v/>
      </c>
      <c r="D204" s="426"/>
      <c r="E204" s="426"/>
      <c r="F204" s="426"/>
      <c r="G204" s="426"/>
      <c r="H204" s="428" t="str">
        <f t="shared" si="109"/>
        <v/>
      </c>
      <c r="I204" s="428" t="str">
        <f t="shared" si="109"/>
        <v/>
      </c>
      <c r="J204" s="424" t="str">
        <f>IFERROR(INDEX(確認申請料金表データ!X$214:AN$241,MATCH($K$16,確認申請料金表データ!B$214:B$241,0),MATCH(C204,確認申請料金表データ!X$3:AN$3,0)),"")</f>
        <v/>
      </c>
      <c r="K204" s="425" t="str">
        <f>IFERROR(+J204*H204,"")</f>
        <v/>
      </c>
      <c r="L204" s="422" t="str">
        <f t="shared" si="110"/>
        <v/>
      </c>
    </row>
    <row r="205" spans="2:15" s="398" customFormat="1" ht="15" customHeight="1" x14ac:dyDescent="0.15">
      <c r="B205" s="423" t="str">
        <f t="shared" si="108"/>
        <v/>
      </c>
      <c r="C205" s="423" t="str">
        <f t="shared" si="108"/>
        <v/>
      </c>
      <c r="D205" s="426"/>
      <c r="E205" s="426"/>
      <c r="F205" s="426"/>
      <c r="G205" s="426"/>
      <c r="H205" s="428" t="str">
        <f t="shared" si="109"/>
        <v/>
      </c>
      <c r="I205" s="428" t="str">
        <f t="shared" si="109"/>
        <v/>
      </c>
      <c r="J205" s="424" t="str">
        <f>IFERROR(INDEX(確認申請料金表データ!X$214:AN$241,MATCH($K$16,確認申請料金表データ!B$214:B$241,0),MATCH(C205,確認申請料金表データ!X$3:AN$3,0)),"")</f>
        <v/>
      </c>
      <c r="K205" s="425" t="str">
        <f t="shared" ref="K205:K208" si="111">IFERROR(+J205*H205,"")</f>
        <v/>
      </c>
      <c r="L205" s="422" t="str">
        <f t="shared" si="110"/>
        <v/>
      </c>
      <c r="O205" s="430"/>
    </row>
    <row r="206" spans="2:15" s="398" customFormat="1" ht="15" customHeight="1" x14ac:dyDescent="0.15">
      <c r="B206" s="423" t="str">
        <f t="shared" si="108"/>
        <v/>
      </c>
      <c r="C206" s="423" t="str">
        <f t="shared" si="108"/>
        <v/>
      </c>
      <c r="D206" s="426"/>
      <c r="E206" s="426"/>
      <c r="F206" s="426"/>
      <c r="G206" s="426"/>
      <c r="H206" s="428" t="str">
        <f t="shared" si="109"/>
        <v/>
      </c>
      <c r="I206" s="428" t="str">
        <f t="shared" si="109"/>
        <v/>
      </c>
      <c r="J206" s="424" t="str">
        <f>IFERROR(INDEX(確認申請料金表データ!X$214:AN$241,MATCH($K$16,確認申請料金表データ!B$214:B$241,0),MATCH(C206,確認申請料金表データ!X$3:AN$3,0)),"")</f>
        <v/>
      </c>
      <c r="K206" s="425" t="str">
        <f t="shared" si="111"/>
        <v/>
      </c>
      <c r="L206" s="422" t="str">
        <f t="shared" si="110"/>
        <v/>
      </c>
    </row>
    <row r="207" spans="2:15" s="398" customFormat="1" ht="15" customHeight="1" x14ac:dyDescent="0.15">
      <c r="B207" s="423" t="str">
        <f t="shared" si="108"/>
        <v/>
      </c>
      <c r="C207" s="423" t="str">
        <f t="shared" si="108"/>
        <v/>
      </c>
      <c r="D207" s="426"/>
      <c r="E207" s="426"/>
      <c r="F207" s="426"/>
      <c r="G207" s="426"/>
      <c r="H207" s="428" t="str">
        <f t="shared" si="109"/>
        <v/>
      </c>
      <c r="I207" s="428" t="str">
        <f t="shared" si="109"/>
        <v/>
      </c>
      <c r="J207" s="424" t="str">
        <f>IFERROR(INDEX(確認申請料金表データ!X$214:AN$241,MATCH($K$16,確認申請料金表データ!B$214:B$241,0),MATCH(C207,確認申請料金表データ!X$3:AN$3,0)),"")</f>
        <v/>
      </c>
      <c r="K207" s="425" t="str">
        <f t="shared" si="111"/>
        <v/>
      </c>
      <c r="L207" s="422" t="str">
        <f t="shared" si="110"/>
        <v/>
      </c>
    </row>
    <row r="208" spans="2:15" s="398" customFormat="1" ht="15" customHeight="1" x14ac:dyDescent="0.15">
      <c r="B208" s="423" t="str">
        <f t="shared" si="108"/>
        <v/>
      </c>
      <c r="C208" s="423" t="str">
        <f t="shared" si="108"/>
        <v/>
      </c>
      <c r="D208" s="426"/>
      <c r="E208" s="426"/>
      <c r="F208" s="426"/>
      <c r="G208" s="426"/>
      <c r="H208" s="428" t="str">
        <f t="shared" si="109"/>
        <v/>
      </c>
      <c r="I208" s="428" t="str">
        <f t="shared" si="109"/>
        <v/>
      </c>
      <c r="J208" s="424" t="str">
        <f>IFERROR(INDEX(確認申請料金表データ!X$214:AN$241,MATCH($K$16,確認申請料金表データ!B$214:B$241,0),MATCH(C208,確認申請料金表データ!X$3:AN$3,0)),"")</f>
        <v/>
      </c>
      <c r="K208" s="425" t="str">
        <f t="shared" si="111"/>
        <v/>
      </c>
      <c r="L208" s="422" t="str">
        <f t="shared" si="110"/>
        <v/>
      </c>
    </row>
    <row r="209" spans="2:15" s="398" customFormat="1" ht="15" customHeight="1" x14ac:dyDescent="0.15">
      <c r="B209" s="423" t="str">
        <f t="shared" si="108"/>
        <v/>
      </c>
      <c r="C209" s="423" t="str">
        <f t="shared" si="108"/>
        <v/>
      </c>
      <c r="D209" s="423"/>
      <c r="E209" s="423"/>
      <c r="F209" s="423"/>
      <c r="G209" s="423"/>
      <c r="H209" s="428" t="str">
        <f t="shared" si="109"/>
        <v/>
      </c>
      <c r="I209" s="428" t="str">
        <f t="shared" si="109"/>
        <v/>
      </c>
      <c r="J209" s="424" t="str">
        <f>IFERROR(INDEX(確認申請料金表データ!X$214:AN$241,MATCH($K$16,確認申請料金表データ!B$214:B$241,0),MATCH(C209,確認申請料金表データ!X$3:AN$3,0)),"")</f>
        <v/>
      </c>
      <c r="K209" s="425" t="str">
        <f>IFERROR(+J209*H209,"")</f>
        <v/>
      </c>
      <c r="L209" s="422" t="str">
        <f t="shared" si="110"/>
        <v/>
      </c>
    </row>
    <row r="210" spans="2:15" s="398" customFormat="1" ht="15" customHeight="1" x14ac:dyDescent="0.15">
      <c r="B210" s="423" t="str">
        <f t="shared" si="108"/>
        <v/>
      </c>
      <c r="C210" s="423" t="str">
        <f t="shared" si="108"/>
        <v/>
      </c>
      <c r="D210" s="423"/>
      <c r="E210" s="423"/>
      <c r="F210" s="423"/>
      <c r="G210" s="423"/>
      <c r="H210" s="428" t="str">
        <f t="shared" si="109"/>
        <v/>
      </c>
      <c r="I210" s="428" t="str">
        <f t="shared" si="109"/>
        <v/>
      </c>
      <c r="J210" s="424" t="str">
        <f>IFERROR(INDEX(確認申請料金表データ!X$214:AN$241,MATCH($K$16,確認申請料金表データ!B$214:B$241,0),MATCH(C210,確認申請料金表データ!X$3:AN$3,0)),"")</f>
        <v/>
      </c>
      <c r="K210" s="425" t="str">
        <f>IFERROR(+J210*H210,"")</f>
        <v/>
      </c>
      <c r="L210" s="422" t="str">
        <f t="shared" si="110"/>
        <v/>
      </c>
    </row>
    <row r="211" spans="2:15" s="398" customFormat="1" ht="15" customHeight="1" x14ac:dyDescent="0.15">
      <c r="B211" s="423" t="str">
        <f t="shared" si="108"/>
        <v/>
      </c>
      <c r="C211" s="423" t="str">
        <f t="shared" si="108"/>
        <v/>
      </c>
      <c r="D211" s="423"/>
      <c r="E211" s="423"/>
      <c r="F211" s="423"/>
      <c r="G211" s="423"/>
      <c r="H211" s="428" t="str">
        <f t="shared" si="109"/>
        <v/>
      </c>
      <c r="I211" s="428" t="str">
        <f t="shared" si="109"/>
        <v/>
      </c>
      <c r="J211" s="424" t="str">
        <f>IFERROR(INDEX(確認申請料金表データ!X$214:AN$241,MATCH($K$16,確認申請料金表データ!B$214:B$241,0),MATCH(C211,確認申請料金表データ!X$3:AN$3,0)),"")</f>
        <v/>
      </c>
      <c r="K211" s="425" t="str">
        <f t="shared" ref="K211" si="112">IFERROR(+J211*H211,"")</f>
        <v/>
      </c>
      <c r="L211" s="422" t="str">
        <f t="shared" si="110"/>
        <v/>
      </c>
    </row>
    <row r="212" spans="2:15" s="398" customFormat="1" ht="15" customHeight="1" x14ac:dyDescent="0.15">
      <c r="B212" s="423" t="str">
        <f t="shared" si="108"/>
        <v/>
      </c>
      <c r="C212" s="423" t="str">
        <f t="shared" si="108"/>
        <v/>
      </c>
      <c r="D212" s="423" t="str">
        <f>+IF(D155="","",D155)</f>
        <v/>
      </c>
      <c r="E212" s="423" t="str">
        <f>+IF(E155="","",E155)</f>
        <v/>
      </c>
      <c r="F212" s="423" t="str">
        <f>+IF(F155="","",F155)</f>
        <v/>
      </c>
      <c r="G212" s="423" t="str">
        <f>+IF(G155="","",G155)</f>
        <v/>
      </c>
      <c r="H212" s="423" t="str">
        <f t="shared" si="109"/>
        <v/>
      </c>
      <c r="I212" s="423" t="str">
        <f t="shared" si="109"/>
        <v/>
      </c>
      <c r="J212" s="423" t="str">
        <f>+IF(J155="","",J155)</f>
        <v/>
      </c>
      <c r="K212" s="423" t="str">
        <f>+IF(K155="","",K155)</f>
        <v/>
      </c>
      <c r="L212" s="422" t="str">
        <f t="shared" si="110"/>
        <v/>
      </c>
      <c r="O212" s="429"/>
    </row>
    <row r="213" spans="2:15" s="398" customFormat="1" ht="15" customHeight="1" x14ac:dyDescent="0.15">
      <c r="B213" s="423" t="str">
        <f t="shared" si="108"/>
        <v>□</v>
      </c>
      <c r="C213" s="423" t="str">
        <f t="shared" si="108"/>
        <v>省エネ基準省令に基づく基準による審査(仕様基準)</v>
      </c>
      <c r="D213" s="426"/>
      <c r="E213" s="426"/>
      <c r="F213" s="426"/>
      <c r="G213" s="426"/>
      <c r="H213" s="428" t="str">
        <f t="shared" si="109"/>
        <v/>
      </c>
      <c r="I213" s="428" t="str">
        <f t="shared" si="109"/>
        <v/>
      </c>
      <c r="J213" s="424"/>
      <c r="K213" s="425"/>
      <c r="L213" s="422" t="str">
        <f t="shared" si="110"/>
        <v/>
      </c>
    </row>
    <row r="214" spans="2:15" s="398" customFormat="1" ht="15" customHeight="1" x14ac:dyDescent="0.15">
      <c r="B214" s="423" t="str">
        <f t="shared" si="108"/>
        <v/>
      </c>
      <c r="C214" s="423" t="str">
        <f t="shared" si="108"/>
        <v/>
      </c>
      <c r="D214" s="426"/>
      <c r="E214" s="426"/>
      <c r="F214" s="426"/>
      <c r="G214" s="426"/>
      <c r="H214" s="428" t="str">
        <f t="shared" si="109"/>
        <v/>
      </c>
      <c r="I214" s="428" t="str">
        <f t="shared" si="109"/>
        <v/>
      </c>
      <c r="J214" s="424" t="str">
        <f>IFERROR(INDEX(確認申請料金表データ!S$214:V$241,MATCH($K$16,確認申請料金表データ!B$214:B$241,0),MATCH($C214,確認申請料金表データ!S$3:V$3,0)),"")</f>
        <v/>
      </c>
      <c r="K214" s="425" t="str">
        <f t="shared" ref="K214:K215" si="113">IFERROR(+J214*H214,"")</f>
        <v/>
      </c>
      <c r="L214" s="422" t="str">
        <f t="shared" si="110"/>
        <v/>
      </c>
    </row>
    <row r="215" spans="2:15" s="398" customFormat="1" ht="15" customHeight="1" x14ac:dyDescent="0.15">
      <c r="B215" s="423" t="str">
        <f t="shared" si="108"/>
        <v/>
      </c>
      <c r="C215" s="423" t="str">
        <f t="shared" si="108"/>
        <v/>
      </c>
      <c r="D215" s="426"/>
      <c r="E215" s="426"/>
      <c r="F215" s="426"/>
      <c r="G215" s="426"/>
      <c r="H215" s="428" t="str">
        <f t="shared" si="109"/>
        <v/>
      </c>
      <c r="I215" s="428" t="str">
        <f t="shared" si="109"/>
        <v/>
      </c>
      <c r="J215" s="424" t="str">
        <f>IFERROR(INDEX(確認申請料金表データ!S$214:V$241,MATCH($K$16,確認申請料金表データ!B$214:B$241,0),MATCH($C215,確認申請料金表データ!S$3:V$3,0)),"")</f>
        <v/>
      </c>
      <c r="K215" s="425" t="str">
        <f t="shared" si="113"/>
        <v/>
      </c>
      <c r="L215" s="422" t="str">
        <f t="shared" si="110"/>
        <v/>
      </c>
    </row>
    <row r="216" spans="2:15" s="398" customFormat="1" ht="15" customHeight="1" x14ac:dyDescent="0.15">
      <c r="B216" s="423" t="str">
        <f t="shared" si="108"/>
        <v/>
      </c>
      <c r="C216" s="423" t="str">
        <f t="shared" si="108"/>
        <v/>
      </c>
      <c r="D216" s="426"/>
      <c r="E216" s="426"/>
      <c r="F216" s="426"/>
      <c r="G216" s="426"/>
      <c r="H216" s="422" t="str">
        <f t="shared" si="109"/>
        <v/>
      </c>
      <c r="I216" s="422" t="str">
        <f t="shared" si="109"/>
        <v/>
      </c>
      <c r="J216" s="422" t="str">
        <f>+IF(J159="","",J159)</f>
        <v/>
      </c>
      <c r="K216" s="422" t="str">
        <f>+IF(K159="","",K159)</f>
        <v/>
      </c>
      <c r="L216" s="422" t="str">
        <f t="shared" si="110"/>
        <v/>
      </c>
    </row>
    <row r="217" spans="2:15" s="398" customFormat="1" ht="15" customHeight="1" x14ac:dyDescent="0.15">
      <c r="B217" s="423" t="str">
        <f t="shared" si="108"/>
        <v/>
      </c>
      <c r="C217" s="423" t="str">
        <f t="shared" si="108"/>
        <v/>
      </c>
      <c r="D217" s="431"/>
      <c r="E217" s="431"/>
      <c r="F217" s="431"/>
      <c r="G217" s="431"/>
      <c r="H217" s="432" t="s">
        <v>21</v>
      </c>
      <c r="I217" s="433"/>
      <c r="J217" s="433"/>
      <c r="K217" s="434">
        <f>SUM(K189:K215)</f>
        <v>36000</v>
      </c>
      <c r="L217" s="422" t="str">
        <f t="shared" si="110"/>
        <v>-</v>
      </c>
    </row>
    <row r="218" spans="2:15" s="398" customFormat="1" ht="15" customHeight="1" x14ac:dyDescent="0.15">
      <c r="B218" s="435" t="str">
        <f t="shared" si="108"/>
        <v>□</v>
      </c>
      <c r="C218" s="436" t="str">
        <f t="shared" si="108"/>
        <v>出張費及び交通費（当機関規定による）【課税対象、消費税込み】</v>
      </c>
      <c r="D218" s="437" t="str">
        <f t="shared" ref="D218:K219" si="114">+IF(D161="","",D161)</f>
        <v/>
      </c>
      <c r="E218" s="437" t="str">
        <f t="shared" si="114"/>
        <v/>
      </c>
      <c r="F218" s="437" t="str">
        <f t="shared" si="114"/>
        <v/>
      </c>
      <c r="G218" s="437" t="str">
        <f t="shared" si="114"/>
        <v/>
      </c>
      <c r="H218" s="438" t="str">
        <f t="shared" si="114"/>
        <v/>
      </c>
      <c r="I218" s="435" t="str">
        <f t="shared" si="114"/>
        <v/>
      </c>
      <c r="J218" s="439" t="str">
        <f t="shared" si="114"/>
        <v/>
      </c>
      <c r="K218" s="439" t="str">
        <f t="shared" si="114"/>
        <v/>
      </c>
      <c r="L218" s="435" t="str">
        <f t="shared" si="110"/>
        <v/>
      </c>
      <c r="M218" s="398" t="str">
        <f>+IF(M161="","",M161)</f>
        <v/>
      </c>
      <c r="N218" s="398" t="str">
        <f>+IF(N161="","",N161)</f>
        <v/>
      </c>
    </row>
    <row r="219" spans="2:15" s="398" customFormat="1" ht="15" customHeight="1" x14ac:dyDescent="0.15">
      <c r="B219" s="440" t="str">
        <f t="shared" si="108"/>
        <v/>
      </c>
      <c r="C219" s="440" t="str">
        <f t="shared" si="108"/>
        <v>出張交通費</v>
      </c>
      <c r="D219" s="441" t="str">
        <f t="shared" si="114"/>
        <v>東京都</v>
      </c>
      <c r="E219" s="426" t="str">
        <f t="shared" si="114"/>
        <v/>
      </c>
      <c r="F219" s="426" t="str">
        <f t="shared" si="114"/>
        <v/>
      </c>
      <c r="G219" s="442" t="str">
        <f t="shared" si="114"/>
        <v/>
      </c>
      <c r="H219" s="443">
        <f t="shared" si="114"/>
        <v>1</v>
      </c>
      <c r="I219" s="428" t="str">
        <f t="shared" si="114"/>
        <v>回</v>
      </c>
      <c r="J219" s="444">
        <f t="shared" si="114"/>
        <v>2200</v>
      </c>
      <c r="K219" s="425">
        <f t="shared" si="114"/>
        <v>2200</v>
      </c>
      <c r="L219" s="445" t="str">
        <f t="shared" si="110"/>
        <v>-</v>
      </c>
      <c r="M219" s="398" t="str">
        <f>+IF(M162="","",M162)</f>
        <v/>
      </c>
      <c r="O219" s="429"/>
    </row>
    <row r="220" spans="2:15" s="398" customFormat="1" ht="15" customHeight="1" x14ac:dyDescent="0.15">
      <c r="B220" s="446" t="str">
        <f t="shared" si="108"/>
        <v/>
      </c>
      <c r="C220" s="447" t="str">
        <f t="shared" si="108"/>
        <v/>
      </c>
      <c r="D220" s="447" t="str">
        <f>+IF(D163="","",D163)</f>
        <v/>
      </c>
      <c r="E220" s="447" t="str">
        <f>+IF(E163="","",E163)</f>
        <v/>
      </c>
      <c r="F220" s="447" t="str">
        <f>+IF(F163="","",F163)</f>
        <v/>
      </c>
      <c r="G220" s="447" t="str">
        <f>+IF(G163="","",G163)</f>
        <v/>
      </c>
      <c r="H220" s="448" t="str">
        <f>+IF(H163="","",H163)</f>
        <v>合     計</v>
      </c>
      <c r="I220" s="448"/>
      <c r="J220" s="449"/>
      <c r="K220" s="450">
        <f>+IF(K163="","",K163)</f>
        <v>2200</v>
      </c>
      <c r="L220" s="446" t="str">
        <f t="shared" si="110"/>
        <v>-</v>
      </c>
      <c r="M220" s="398" t="str">
        <f>+IF(M163="","",M163)</f>
        <v/>
      </c>
      <c r="N220" s="398" t="str">
        <f>+IF(N163="","",N163)</f>
        <v/>
      </c>
    </row>
    <row r="221" spans="2:15" s="398" customFormat="1" ht="15" customHeight="1" thickBot="1" x14ac:dyDescent="0.2">
      <c r="C221" s="398" t="s">
        <v>91</v>
      </c>
      <c r="H221" s="451" t="s">
        <v>2</v>
      </c>
      <c r="I221" s="451"/>
      <c r="J221" s="451"/>
      <c r="K221" s="452">
        <f>K217+K220</f>
        <v>38200</v>
      </c>
      <c r="L221" s="453" t="s">
        <v>1</v>
      </c>
    </row>
    <row r="222" spans="2:15" s="398" customFormat="1" ht="15" customHeight="1" thickTop="1" x14ac:dyDescent="0.15">
      <c r="B222" s="409"/>
      <c r="C222" s="412" t="s">
        <v>19</v>
      </c>
      <c r="I222" s="454"/>
      <c r="J222" s="454"/>
      <c r="K222" s="455"/>
      <c r="L222" s="412"/>
    </row>
    <row r="223" spans="2:15" s="398" customFormat="1" ht="15" customHeight="1" x14ac:dyDescent="0.15">
      <c r="C223" s="412" t="s">
        <v>22</v>
      </c>
    </row>
    <row r="224" spans="2:15" s="398" customFormat="1" ht="15" customHeight="1" x14ac:dyDescent="0.15">
      <c r="C224" s="412" t="s">
        <v>16</v>
      </c>
    </row>
    <row r="225" spans="2:27" s="398" customFormat="1" ht="15" customHeight="1" x14ac:dyDescent="0.15">
      <c r="C225" s="412" t="s">
        <v>20</v>
      </c>
    </row>
    <row r="226" spans="2:27" s="398" customFormat="1" ht="15" customHeight="1" x14ac:dyDescent="0.15">
      <c r="C226" s="412" t="s">
        <v>18</v>
      </c>
    </row>
    <row r="227" spans="2:27" s="392" customFormat="1" ht="15" customHeight="1" x14ac:dyDescent="0.15">
      <c r="C227" s="398"/>
      <c r="K227" s="456"/>
      <c r="O227" s="398"/>
    </row>
    <row r="228" spans="2:27" s="392" customFormat="1" ht="16.5" customHeight="1" x14ac:dyDescent="0.15">
      <c r="L228" s="456" t="s">
        <v>32</v>
      </c>
    </row>
    <row r="229" spans="2:27" s="392" customFormat="1" ht="19.5" customHeight="1" x14ac:dyDescent="0.15">
      <c r="B229" s="388" t="s">
        <v>29</v>
      </c>
      <c r="C229" s="389"/>
      <c r="D229" s="388"/>
      <c r="E229" s="390"/>
      <c r="F229" s="390"/>
      <c r="G229" s="390"/>
      <c r="H229" s="389"/>
      <c r="I229" s="389"/>
      <c r="J229" s="389"/>
      <c r="K229" s="389"/>
      <c r="L229" s="391" t="str">
        <f>+確認申請料金表データ!A315</f>
        <v>4.特約　確認および検査手数料30％off（加算手数料は通常通り）</v>
      </c>
      <c r="O229" s="393"/>
      <c r="P229" s="394"/>
      <c r="Q229" s="394"/>
      <c r="R229" s="394"/>
      <c r="S229" s="394"/>
      <c r="T229" s="393"/>
      <c r="U229" s="394"/>
      <c r="V229" s="394"/>
      <c r="W229" s="394"/>
      <c r="X229" s="394"/>
      <c r="Y229" s="394"/>
      <c r="Z229" s="394"/>
      <c r="AA229" s="394"/>
    </row>
    <row r="230" spans="2:27" s="392" customFormat="1" ht="15" customHeight="1" x14ac:dyDescent="0.15">
      <c r="E230" s="395"/>
      <c r="F230" s="395"/>
      <c r="G230" s="395"/>
      <c r="H230" s="395"/>
      <c r="I230" s="395"/>
      <c r="J230" s="762">
        <f ca="1">TODAY()</f>
        <v>45848</v>
      </c>
      <c r="K230" s="762"/>
      <c r="L230" s="395"/>
    </row>
    <row r="231" spans="2:27" s="392" customFormat="1" ht="15" customHeight="1" x14ac:dyDescent="0.15">
      <c r="E231" s="395"/>
      <c r="F231" s="395"/>
      <c r="G231" s="395"/>
      <c r="H231" s="395"/>
      <c r="I231" s="395"/>
      <c r="J231" s="396"/>
      <c r="K231" s="396"/>
      <c r="L231" s="395"/>
    </row>
    <row r="232" spans="2:27" s="392" customFormat="1" ht="15" customHeight="1" x14ac:dyDescent="0.15">
      <c r="C232" s="759" t="str">
        <f>+入力シート!$E$9&amp;"　　"&amp;入力シート!$G$9</f>
        <v>　　御中</v>
      </c>
      <c r="D232" s="791"/>
    </row>
    <row r="233" spans="2:27" s="392" customFormat="1" ht="15" customHeight="1" x14ac:dyDescent="0.15">
      <c r="C233" s="397" t="str">
        <f t="shared" ref="C233:C241" si="115">+IF(C176="","",C176)</f>
        <v/>
      </c>
    </row>
    <row r="234" spans="2:27" s="392" customFormat="1" ht="15" customHeight="1" x14ac:dyDescent="0.15">
      <c r="C234" s="392" t="str">
        <f t="shared" si="115"/>
        <v/>
      </c>
      <c r="H234" s="398" t="str">
        <f>+IF(H177="","",H177)</f>
        <v>〒150-0002  東京都渋谷区渋谷1-13-9</v>
      </c>
      <c r="I234" s="399"/>
    </row>
    <row r="235" spans="2:27" s="392" customFormat="1" ht="15" customHeight="1" x14ac:dyDescent="0.15">
      <c r="B235" s="392" t="str">
        <f t="shared" ref="B235:B243" si="116">+IF(B178="","",B178)</f>
        <v/>
      </c>
      <c r="C235" s="392" t="str">
        <f t="shared" si="115"/>
        <v/>
      </c>
      <c r="E235" s="392" t="str">
        <f t="shared" ref="E235:G245" si="117">+IF(E178="","",E178)</f>
        <v/>
      </c>
      <c r="F235" s="392" t="str">
        <f t="shared" si="117"/>
        <v/>
      </c>
      <c r="G235" s="392" t="str">
        <f t="shared" si="117"/>
        <v/>
      </c>
      <c r="H235" s="392" t="str">
        <f>+IF(H178="","",H178)</f>
        <v>株式会社 J 建築検査センター</v>
      </c>
      <c r="I235" s="400"/>
      <c r="L235" s="401"/>
      <c r="M235" s="401"/>
    </row>
    <row r="236" spans="2:27" s="392" customFormat="1" ht="15" customHeight="1" x14ac:dyDescent="0.15">
      <c r="B236" s="392" t="str">
        <f t="shared" si="116"/>
        <v/>
      </c>
      <c r="C236" s="392" t="str">
        <f t="shared" si="115"/>
        <v/>
      </c>
      <c r="E236" s="392" t="str">
        <f t="shared" si="117"/>
        <v/>
      </c>
      <c r="F236" s="392" t="str">
        <f t="shared" si="117"/>
        <v/>
      </c>
      <c r="G236" s="392" t="str">
        <f t="shared" si="117"/>
        <v/>
      </c>
      <c r="H236" s="398" t="str">
        <f>+IF(H179="","",H179)</f>
        <v>TEL:03-5464-7778　FAX:03-5464-7779</v>
      </c>
      <c r="I236" s="400"/>
      <c r="M236" s="392" t="str">
        <f>+IF(M179="","",M179)</f>
        <v/>
      </c>
    </row>
    <row r="237" spans="2:27" s="392" customFormat="1" ht="15" customHeight="1" x14ac:dyDescent="0.15">
      <c r="B237" s="392" t="str">
        <f t="shared" si="116"/>
        <v/>
      </c>
      <c r="C237" s="402" t="str">
        <f t="shared" si="115"/>
        <v>下記の通り、お見積申し上げます。</v>
      </c>
      <c r="E237" s="392" t="str">
        <f t="shared" si="117"/>
        <v/>
      </c>
      <c r="F237" s="392" t="str">
        <f t="shared" si="117"/>
        <v/>
      </c>
      <c r="G237" s="392" t="str">
        <f t="shared" si="117"/>
        <v/>
      </c>
      <c r="I237" s="400"/>
      <c r="M237" s="392" t="str">
        <f>+IF(M180="","",M180)</f>
        <v/>
      </c>
    </row>
    <row r="238" spans="2:27" s="392" customFormat="1" ht="11.25" customHeight="1" x14ac:dyDescent="0.15">
      <c r="B238" s="392" t="str">
        <f t="shared" si="116"/>
        <v/>
      </c>
      <c r="C238" s="403" t="str">
        <f t="shared" si="115"/>
        <v/>
      </c>
      <c r="D238" s="403"/>
      <c r="E238" s="403" t="str">
        <f t="shared" si="117"/>
        <v/>
      </c>
      <c r="F238" s="403" t="str">
        <f t="shared" si="117"/>
        <v/>
      </c>
      <c r="G238" s="403" t="str">
        <f t="shared" si="117"/>
        <v/>
      </c>
      <c r="H238" s="403"/>
      <c r="I238" s="403"/>
      <c r="J238" s="403"/>
      <c r="K238" s="403"/>
    </row>
    <row r="239" spans="2:27" s="394" customFormat="1" ht="24" customHeight="1" x14ac:dyDescent="0.15">
      <c r="B239" s="394" t="str">
        <f t="shared" si="116"/>
        <v/>
      </c>
      <c r="C239" s="404" t="str">
        <f t="shared" si="115"/>
        <v>件       名</v>
      </c>
      <c r="D239" s="764">
        <f>+IF(D182="","",D182)</f>
        <v>0</v>
      </c>
      <c r="E239" s="788" t="str">
        <f t="shared" si="117"/>
        <v/>
      </c>
      <c r="F239" s="788" t="str">
        <f t="shared" si="117"/>
        <v/>
      </c>
      <c r="G239" s="788" t="str">
        <f t="shared" si="117"/>
        <v/>
      </c>
      <c r="H239" s="788" t="str">
        <f t="shared" ref="H239:L242" si="118">+IF(H182="","",H182)</f>
        <v/>
      </c>
      <c r="I239" s="788" t="str">
        <f t="shared" si="118"/>
        <v/>
      </c>
      <c r="J239" s="788" t="str">
        <f t="shared" si="118"/>
        <v/>
      </c>
      <c r="K239" s="788" t="str">
        <f t="shared" si="118"/>
        <v/>
      </c>
      <c r="L239" s="394" t="str">
        <f t="shared" si="118"/>
        <v/>
      </c>
    </row>
    <row r="240" spans="2:27" s="394" customFormat="1" ht="24" customHeight="1" x14ac:dyDescent="0.15">
      <c r="B240" s="394" t="str">
        <f t="shared" si="116"/>
        <v/>
      </c>
      <c r="C240" s="405" t="str">
        <f t="shared" si="115"/>
        <v>総　　　額</v>
      </c>
      <c r="D240" s="406">
        <f>+K278</f>
        <v>33700</v>
      </c>
      <c r="E240" s="407" t="str">
        <f t="shared" si="117"/>
        <v>-</v>
      </c>
      <c r="F240" s="407" t="str">
        <f t="shared" si="117"/>
        <v/>
      </c>
      <c r="G240" s="407" t="str">
        <f t="shared" si="117"/>
        <v/>
      </c>
      <c r="H240" s="407" t="str">
        <f t="shared" si="118"/>
        <v/>
      </c>
      <c r="I240" s="408" t="str">
        <f t="shared" si="118"/>
        <v/>
      </c>
      <c r="J240" s="408" t="str">
        <f t="shared" si="118"/>
        <v/>
      </c>
      <c r="K240" s="408" t="str">
        <f t="shared" si="118"/>
        <v/>
      </c>
      <c r="L240" s="394" t="str">
        <f t="shared" si="118"/>
        <v/>
      </c>
    </row>
    <row r="241" spans="2:15" s="398" customFormat="1" ht="15" customHeight="1" x14ac:dyDescent="0.15">
      <c r="B241" s="409" t="str">
        <f t="shared" si="116"/>
        <v/>
      </c>
      <c r="C241" s="410" t="str">
        <f t="shared" si="115"/>
        <v>御見積書有効期限：</v>
      </c>
      <c r="D241" s="411" t="str">
        <f>+IF(D184="","",D184)</f>
        <v>1ヶ月</v>
      </c>
      <c r="E241" s="412" t="str">
        <f t="shared" si="117"/>
        <v>御支払条件：</v>
      </c>
      <c r="F241" s="410" t="str">
        <f t="shared" si="117"/>
        <v/>
      </c>
      <c r="G241" s="763" t="str">
        <f t="shared" si="117"/>
        <v/>
      </c>
      <c r="H241" s="789" t="str">
        <f t="shared" si="118"/>
        <v/>
      </c>
      <c r="I241" s="789" t="str">
        <f t="shared" si="118"/>
        <v/>
      </c>
      <c r="J241" s="789" t="str">
        <f t="shared" si="118"/>
        <v/>
      </c>
      <c r="K241" s="789" t="str">
        <f t="shared" si="118"/>
        <v/>
      </c>
      <c r="L241" s="398" t="str">
        <f t="shared" si="118"/>
        <v/>
      </c>
      <c r="M241" s="398" t="str">
        <f>+IF(M184="","",M184)</f>
        <v/>
      </c>
      <c r="O241" s="394"/>
    </row>
    <row r="242" spans="2:15" s="398" customFormat="1" ht="15" customHeight="1" x14ac:dyDescent="0.15">
      <c r="B242" s="760" t="str">
        <f t="shared" si="116"/>
        <v>品    名　・　摘    要</v>
      </c>
      <c r="C242" s="760"/>
      <c r="D242" s="760" t="str">
        <f>+IF(D185="","",D185)</f>
        <v/>
      </c>
      <c r="E242" s="760" t="str">
        <f t="shared" si="117"/>
        <v/>
      </c>
      <c r="F242" s="760" t="str">
        <f t="shared" si="117"/>
        <v/>
      </c>
      <c r="G242" s="760" t="str">
        <f t="shared" si="117"/>
        <v/>
      </c>
      <c r="H242" s="413" t="str">
        <f t="shared" si="118"/>
        <v>数  量</v>
      </c>
      <c r="I242" s="414" t="str">
        <f t="shared" si="118"/>
        <v>単位</v>
      </c>
      <c r="J242" s="415" t="str">
        <f t="shared" si="118"/>
        <v>単     価</v>
      </c>
      <c r="K242" s="761" t="str">
        <f t="shared" si="118"/>
        <v>金        額</v>
      </c>
      <c r="L242" s="760" t="str">
        <f t="shared" si="118"/>
        <v/>
      </c>
      <c r="M242" s="398" t="str">
        <f>+IF(M185="","",M185)</f>
        <v/>
      </c>
      <c r="O242" s="394"/>
    </row>
    <row r="243" spans="2:15" s="398" customFormat="1" ht="15" customHeight="1" x14ac:dyDescent="0.15">
      <c r="B243" s="416" t="str">
        <f t="shared" si="116"/>
        <v/>
      </c>
      <c r="C243" s="417" t="str">
        <f>+IF(C186="","",C186)</f>
        <v>'地名・地番:</v>
      </c>
      <c r="D243" s="786" t="str">
        <f>+IF(D186="","",D186)</f>
        <v>東京都</v>
      </c>
      <c r="E243" s="787" t="str">
        <f t="shared" si="117"/>
        <v/>
      </c>
      <c r="F243" s="787" t="str">
        <f t="shared" si="117"/>
        <v/>
      </c>
      <c r="G243" s="787" t="str">
        <f t="shared" si="117"/>
        <v/>
      </c>
      <c r="H243" s="418" t="e">
        <f>+IF(H186="","",H186)</f>
        <v>#REF!</v>
      </c>
      <c r="I243" s="418"/>
      <c r="J243" s="419" t="str">
        <f t="shared" ref="J243:L244" si="119">+IF(J186="","",J186)</f>
        <v>一戸建ての住宅</v>
      </c>
      <c r="K243" s="420" t="str">
        <f t="shared" si="119"/>
        <v/>
      </c>
      <c r="L243" s="420" t="str">
        <f t="shared" si="119"/>
        <v/>
      </c>
      <c r="O243" s="394"/>
    </row>
    <row r="244" spans="2:15" s="398" customFormat="1" ht="15" customHeight="1" x14ac:dyDescent="0.15">
      <c r="B244" s="421" t="str">
        <f>+IF(B190="","",B190)</f>
        <v/>
      </c>
      <c r="C244" s="419" t="str">
        <f>+IF(C187="","",C187)</f>
        <v>構造・規模:</v>
      </c>
      <c r="D244" s="419" t="str">
        <f>+IF(D187="","",D187)</f>
        <v>木造</v>
      </c>
      <c r="E244" s="419" t="str">
        <f t="shared" si="117"/>
        <v>：地上</v>
      </c>
      <c r="F244" s="419">
        <f t="shared" si="117"/>
        <v>2</v>
      </c>
      <c r="G244" s="419" t="str">
        <f t="shared" si="117"/>
        <v>階、地下</v>
      </c>
      <c r="H244" s="419" t="str">
        <f>+IF(H187="","",H187)</f>
        <v>-</v>
      </c>
      <c r="I244" s="419" t="str">
        <f>+IF(I187="","",I187)</f>
        <v>階</v>
      </c>
      <c r="J244" s="419" t="str">
        <f t="shared" si="119"/>
        <v>：延べ面積</v>
      </c>
      <c r="K244" s="419" t="str">
        <f t="shared" si="119"/>
        <v>0-100㎡以内(3号)</v>
      </c>
      <c r="L244" s="422" t="str">
        <f t="shared" si="119"/>
        <v/>
      </c>
      <c r="O244" s="394"/>
    </row>
    <row r="245" spans="2:15" s="398" customFormat="1" ht="15" customHeight="1" x14ac:dyDescent="0.15">
      <c r="B245" s="423" t="str">
        <f>+IF(B188="","",B188)</f>
        <v>■</v>
      </c>
      <c r="C245" s="423" t="str">
        <f>+IF(C188="","",C188)</f>
        <v>確認申請業務【非課税】</v>
      </c>
      <c r="D245" s="423" t="str">
        <f>+IF(D188="","",D188)</f>
        <v/>
      </c>
      <c r="E245" s="423" t="str">
        <f t="shared" si="117"/>
        <v/>
      </c>
      <c r="F245" s="423" t="str">
        <f t="shared" si="117"/>
        <v/>
      </c>
      <c r="G245" s="423" t="str">
        <f t="shared" si="117"/>
        <v/>
      </c>
      <c r="H245" s="423" t="str">
        <f>+IF(H188="","",H188)</f>
        <v/>
      </c>
      <c r="I245" s="423" t="str">
        <f>+IF(I188="","",I188)</f>
        <v/>
      </c>
      <c r="J245" s="424"/>
      <c r="K245" s="425"/>
      <c r="L245" s="422" t="str">
        <f>+IF(L188="","",L188)</f>
        <v/>
      </c>
    </row>
    <row r="246" spans="2:15" s="398" customFormat="1" ht="15" customHeight="1" x14ac:dyDescent="0.15">
      <c r="B246" s="423" t="str">
        <f>+IF(B189="","",B189)</f>
        <v>・</v>
      </c>
      <c r="C246" s="423" t="str">
        <f>+IF(C189="","",C189)</f>
        <v>確認申請(計画通知)基本手数料</v>
      </c>
      <c r="D246" s="426"/>
      <c r="E246" s="427"/>
      <c r="F246" s="427"/>
      <c r="G246" s="427"/>
      <c r="H246" s="428">
        <f>+IF(H189="","",H189)</f>
        <v>1</v>
      </c>
      <c r="I246" s="428" t="str">
        <f>+IF(I189="","",I189)</f>
        <v>式</v>
      </c>
      <c r="J246" s="424">
        <f>IFERROR(INDEX(確認申請料金表データ!C$318:Q$341,MATCH($K$16,確認申請料金表データ!B$318:B$341,0),MATCH($C246,確認申請料金表データ!C$3:Q$3,0)),"")</f>
        <v>31499.999999999996</v>
      </c>
      <c r="K246" s="425">
        <f>IFERROR(+J246*H246,"")</f>
        <v>31499.999999999996</v>
      </c>
      <c r="L246" s="422" t="str">
        <f>+IF(L189="","",L189)</f>
        <v>-</v>
      </c>
    </row>
    <row r="247" spans="2:15" s="398" customFormat="1" ht="15" customHeight="1" x14ac:dyDescent="0.15">
      <c r="B247" s="423" t="str">
        <f>+IF(B190="","",B190)</f>
        <v/>
      </c>
      <c r="C247" s="423" t="str">
        <f>+IF(C190="","",C190)</f>
        <v/>
      </c>
      <c r="D247" s="426"/>
      <c r="E247" s="423" t="str">
        <f>+IF(E190="","",E190)</f>
        <v/>
      </c>
      <c r="F247" s="427"/>
      <c r="G247" s="427"/>
      <c r="H247" s="428" t="str">
        <f>+IF(H190="","",H190)</f>
        <v/>
      </c>
      <c r="I247" s="428" t="str">
        <f>+IF(I190="","",I190)</f>
        <v/>
      </c>
      <c r="J247" s="424" t="str">
        <f>IFERROR(INDEX(確認申請料金表データ!C$318:Q$345,MATCH(E247,確認申請料金表データ!B$318:B$345,0),MATCH(C247,確認申請料金表データ!C$3:Q$3,0)),"")</f>
        <v/>
      </c>
      <c r="K247" s="425" t="str">
        <f>IFERROR(+J247*H247,"")</f>
        <v/>
      </c>
      <c r="L247" s="422" t="str">
        <f>+IF(L190="","",L190)</f>
        <v/>
      </c>
    </row>
    <row r="248" spans="2:15" s="398" customFormat="1" ht="15" customHeight="1" x14ac:dyDescent="0.15">
      <c r="B248" s="423" t="str">
        <f t="shared" ref="B248:C248" si="120">+IF(B191="","",B191)</f>
        <v/>
      </c>
      <c r="C248" s="423" t="str">
        <f t="shared" si="120"/>
        <v/>
      </c>
      <c r="D248" s="426"/>
      <c r="E248" s="423" t="str">
        <f t="shared" ref="E248:E256" si="121">+IF(E191="","",E191)</f>
        <v/>
      </c>
      <c r="F248" s="427"/>
      <c r="G248" s="427"/>
      <c r="H248" s="428" t="str">
        <f t="shared" ref="H248:I248" si="122">+IF(H191="","",H191)</f>
        <v/>
      </c>
      <c r="I248" s="428" t="str">
        <f t="shared" si="122"/>
        <v/>
      </c>
      <c r="J248" s="424" t="str">
        <f>IFERROR(INDEX(確認申請料金表データ!C$318:Q$345,MATCH(E248,確認申請料金表データ!B$318:B$345,0),MATCH(C248,確認申請料金表データ!C$3:Q$3,0)),"")</f>
        <v/>
      </c>
      <c r="K248" s="425" t="str">
        <f t="shared" ref="K248:K256" si="123">IFERROR(+J248*H248,"")</f>
        <v/>
      </c>
      <c r="L248" s="422" t="str">
        <f t="shared" ref="L248:L256" si="124">+IF(L191="","",L191)</f>
        <v/>
      </c>
      <c r="O248" s="429"/>
    </row>
    <row r="249" spans="2:15" s="398" customFormat="1" ht="15" customHeight="1" x14ac:dyDescent="0.15">
      <c r="B249" s="423" t="str">
        <f t="shared" ref="B249:C249" si="125">+IF(B192="","",B192)</f>
        <v/>
      </c>
      <c r="C249" s="423" t="str">
        <f t="shared" si="125"/>
        <v/>
      </c>
      <c r="D249" s="426"/>
      <c r="E249" s="423" t="str">
        <f t="shared" si="121"/>
        <v/>
      </c>
      <c r="F249" s="427"/>
      <c r="G249" s="427"/>
      <c r="H249" s="428" t="str">
        <f t="shared" ref="H249:I249" si="126">+IF(H192="","",H192)</f>
        <v/>
      </c>
      <c r="I249" s="428" t="str">
        <f t="shared" si="126"/>
        <v/>
      </c>
      <c r="J249" s="424" t="str">
        <f>IFERROR(INDEX(確認申請料金表データ!C$318:Q$345,MATCH(E249,確認申請料金表データ!B$318:B$345,0),MATCH(C249,確認申請料金表データ!C$3:Q$3,0)),"")</f>
        <v/>
      </c>
      <c r="K249" s="425" t="str">
        <f t="shared" si="123"/>
        <v/>
      </c>
      <c r="L249" s="422" t="str">
        <f t="shared" si="124"/>
        <v/>
      </c>
      <c r="O249" s="429"/>
    </row>
    <row r="250" spans="2:15" s="398" customFormat="1" ht="15" hidden="1" customHeight="1" x14ac:dyDescent="0.15">
      <c r="B250" s="423" t="str">
        <f t="shared" ref="B250:C250" si="127">+IF(B193="","",B193)</f>
        <v/>
      </c>
      <c r="C250" s="423" t="str">
        <f t="shared" si="127"/>
        <v/>
      </c>
      <c r="D250" s="426"/>
      <c r="E250" s="423" t="str">
        <f t="shared" si="121"/>
        <v/>
      </c>
      <c r="F250" s="427"/>
      <c r="G250" s="427"/>
      <c r="H250" s="428" t="str">
        <f t="shared" ref="H250:I250" si="128">+IF(H193="","",H193)</f>
        <v/>
      </c>
      <c r="I250" s="428" t="str">
        <f t="shared" si="128"/>
        <v/>
      </c>
      <c r="J250" s="424" t="str">
        <f>IFERROR(INDEX(確認申請料金表データ!C$318:Q$345,MATCH(E250,確認申請料金表データ!B$318:B$345,0),MATCH(C250,確認申請料金表データ!C$3:Q$3,0)),"")</f>
        <v/>
      </c>
      <c r="K250" s="425" t="str">
        <f t="shared" si="123"/>
        <v/>
      </c>
      <c r="L250" s="422" t="str">
        <f t="shared" si="124"/>
        <v/>
      </c>
      <c r="O250" s="429"/>
    </row>
    <row r="251" spans="2:15" s="398" customFormat="1" ht="15" hidden="1" customHeight="1" x14ac:dyDescent="0.15">
      <c r="B251" s="423" t="str">
        <f t="shared" ref="B251:C251" si="129">+IF(B194="","",B194)</f>
        <v/>
      </c>
      <c r="C251" s="423" t="str">
        <f t="shared" si="129"/>
        <v/>
      </c>
      <c r="D251" s="426"/>
      <c r="E251" s="423" t="str">
        <f t="shared" si="121"/>
        <v/>
      </c>
      <c r="F251" s="427"/>
      <c r="G251" s="427"/>
      <c r="H251" s="428" t="str">
        <f t="shared" ref="H251:I251" si="130">+IF(H194="","",H194)</f>
        <v/>
      </c>
      <c r="I251" s="428" t="str">
        <f t="shared" si="130"/>
        <v/>
      </c>
      <c r="J251" s="424" t="str">
        <f>IFERROR(INDEX(確認申請料金表データ!C$318:Q$345,MATCH(E251,確認申請料金表データ!B$318:B$345,0),MATCH(C251,確認申請料金表データ!C$3:Q$3,0)),"")</f>
        <v/>
      </c>
      <c r="K251" s="425" t="str">
        <f t="shared" si="123"/>
        <v/>
      </c>
      <c r="L251" s="422" t="str">
        <f t="shared" si="124"/>
        <v/>
      </c>
      <c r="O251" s="429"/>
    </row>
    <row r="252" spans="2:15" s="398" customFormat="1" ht="15" hidden="1" customHeight="1" x14ac:dyDescent="0.15">
      <c r="B252" s="423" t="str">
        <f t="shared" ref="B252:C252" si="131">+IF(B195="","",B195)</f>
        <v/>
      </c>
      <c r="C252" s="423" t="str">
        <f t="shared" si="131"/>
        <v/>
      </c>
      <c r="D252" s="426"/>
      <c r="E252" s="423" t="str">
        <f t="shared" si="121"/>
        <v/>
      </c>
      <c r="F252" s="427"/>
      <c r="G252" s="427"/>
      <c r="H252" s="428" t="str">
        <f t="shared" ref="H252:I252" si="132">+IF(H195="","",H195)</f>
        <v/>
      </c>
      <c r="I252" s="428" t="str">
        <f t="shared" si="132"/>
        <v/>
      </c>
      <c r="J252" s="424" t="str">
        <f>IFERROR(INDEX(確認申請料金表データ!C$318:Q$345,MATCH(E252,確認申請料金表データ!B$318:B$345,0),MATCH(C252,確認申請料金表データ!C$3:Q$3,0)),"")</f>
        <v/>
      </c>
      <c r="K252" s="425" t="str">
        <f t="shared" si="123"/>
        <v/>
      </c>
      <c r="L252" s="422" t="str">
        <f t="shared" si="124"/>
        <v/>
      </c>
      <c r="O252" s="429"/>
    </row>
    <row r="253" spans="2:15" s="398" customFormat="1" ht="15" hidden="1" customHeight="1" x14ac:dyDescent="0.15">
      <c r="B253" s="423" t="str">
        <f t="shared" ref="B253:C253" si="133">+IF(B196="","",B196)</f>
        <v/>
      </c>
      <c r="C253" s="423" t="str">
        <f t="shared" si="133"/>
        <v/>
      </c>
      <c r="D253" s="426"/>
      <c r="E253" s="423" t="str">
        <f t="shared" si="121"/>
        <v/>
      </c>
      <c r="F253" s="427"/>
      <c r="G253" s="427"/>
      <c r="H253" s="428" t="str">
        <f t="shared" ref="H253:I253" si="134">+IF(H196="","",H196)</f>
        <v/>
      </c>
      <c r="I253" s="428" t="str">
        <f t="shared" si="134"/>
        <v/>
      </c>
      <c r="J253" s="424" t="str">
        <f>IFERROR(INDEX(確認申請料金表データ!C$318:Q$345,MATCH(E253,確認申請料金表データ!B$318:B$345,0),MATCH(C253,確認申請料金表データ!C$3:Q$3,0)),"")</f>
        <v/>
      </c>
      <c r="K253" s="425" t="str">
        <f t="shared" si="123"/>
        <v/>
      </c>
      <c r="L253" s="422" t="str">
        <f t="shared" si="124"/>
        <v/>
      </c>
      <c r="O253" s="429"/>
    </row>
    <row r="254" spans="2:15" s="398" customFormat="1" ht="15" hidden="1" customHeight="1" x14ac:dyDescent="0.15">
      <c r="B254" s="423" t="str">
        <f t="shared" ref="B254:C254" si="135">+IF(B197="","",B197)</f>
        <v/>
      </c>
      <c r="C254" s="423" t="str">
        <f t="shared" si="135"/>
        <v/>
      </c>
      <c r="D254" s="426"/>
      <c r="E254" s="423" t="str">
        <f t="shared" si="121"/>
        <v/>
      </c>
      <c r="F254" s="427"/>
      <c r="G254" s="427"/>
      <c r="H254" s="428" t="str">
        <f t="shared" ref="H254:I254" si="136">+IF(H197="","",H197)</f>
        <v/>
      </c>
      <c r="I254" s="428" t="str">
        <f t="shared" si="136"/>
        <v/>
      </c>
      <c r="J254" s="424" t="str">
        <f>IFERROR(INDEX(確認申請料金表データ!C$318:Q$345,MATCH(E254,確認申請料金表データ!B$318:B$345,0),MATCH(C254,確認申請料金表データ!C$3:Q$3,0)),"")</f>
        <v/>
      </c>
      <c r="K254" s="425" t="str">
        <f t="shared" si="123"/>
        <v/>
      </c>
      <c r="L254" s="422" t="str">
        <f t="shared" si="124"/>
        <v/>
      </c>
      <c r="O254" s="429"/>
    </row>
    <row r="255" spans="2:15" s="398" customFormat="1" ht="15" hidden="1" customHeight="1" x14ac:dyDescent="0.15">
      <c r="B255" s="423" t="str">
        <f t="shared" ref="B255:C255" si="137">+IF(B198="","",B198)</f>
        <v/>
      </c>
      <c r="C255" s="423" t="str">
        <f t="shared" si="137"/>
        <v/>
      </c>
      <c r="D255" s="426"/>
      <c r="E255" s="423" t="str">
        <f t="shared" si="121"/>
        <v/>
      </c>
      <c r="F255" s="427"/>
      <c r="G255" s="427"/>
      <c r="H255" s="428" t="str">
        <f t="shared" ref="H255:I255" si="138">+IF(H198="","",H198)</f>
        <v/>
      </c>
      <c r="I255" s="428" t="str">
        <f t="shared" si="138"/>
        <v/>
      </c>
      <c r="J255" s="424" t="str">
        <f>IFERROR(INDEX(確認申請料金表データ!C$318:Q$345,MATCH(E255,確認申請料金表データ!B$318:B$345,0),MATCH(C255,確認申請料金表データ!C$3:Q$3,0)),"")</f>
        <v/>
      </c>
      <c r="K255" s="425" t="str">
        <f t="shared" si="123"/>
        <v/>
      </c>
      <c r="L255" s="422" t="str">
        <f t="shared" si="124"/>
        <v/>
      </c>
      <c r="O255" s="429"/>
    </row>
    <row r="256" spans="2:15" s="398" customFormat="1" ht="15" hidden="1" customHeight="1" x14ac:dyDescent="0.15">
      <c r="B256" s="423" t="str">
        <f t="shared" ref="B256:C256" si="139">+IF(B199="","",B199)</f>
        <v/>
      </c>
      <c r="C256" s="423" t="str">
        <f t="shared" si="139"/>
        <v/>
      </c>
      <c r="D256" s="426"/>
      <c r="E256" s="423" t="str">
        <f t="shared" si="121"/>
        <v/>
      </c>
      <c r="F256" s="427"/>
      <c r="G256" s="427"/>
      <c r="H256" s="428" t="str">
        <f t="shared" ref="H256:I256" si="140">+IF(H199="","",H199)</f>
        <v/>
      </c>
      <c r="I256" s="428" t="str">
        <f t="shared" si="140"/>
        <v/>
      </c>
      <c r="J256" s="424" t="str">
        <f>IFERROR(INDEX(確認申請料金表データ!C$318:Q$345,MATCH(E256,確認申請料金表データ!B$318:B$345,0),MATCH(C256,確認申請料金表データ!C$3:Q$3,0)),"")</f>
        <v/>
      </c>
      <c r="K256" s="425" t="str">
        <f t="shared" si="123"/>
        <v/>
      </c>
      <c r="L256" s="422" t="str">
        <f t="shared" si="124"/>
        <v/>
      </c>
      <c r="O256" s="429"/>
    </row>
    <row r="257" spans="2:15" s="398" customFormat="1" ht="15" customHeight="1" x14ac:dyDescent="0.15">
      <c r="B257" s="423" t="str">
        <f t="shared" ref="B257:C271" si="141">+IF(B200="","",B200)</f>
        <v/>
      </c>
      <c r="C257" s="423" t="str">
        <f t="shared" si="141"/>
        <v/>
      </c>
      <c r="D257" s="426"/>
      <c r="E257" s="426"/>
      <c r="F257" s="427"/>
      <c r="G257" s="427"/>
      <c r="H257" s="428" t="str">
        <f t="shared" ref="H257:I271" si="142">+IF(H200="","",H200)</f>
        <v/>
      </c>
      <c r="I257" s="428" t="str">
        <f t="shared" si="142"/>
        <v/>
      </c>
      <c r="J257" s="424" t="str">
        <f>IFERROR(INDEX(確認申請料金表データ!C$318:Q$341,MATCH($K$16,確認申請料金表データ!B$318:B$341,0),MATCH($C257,確認申請料金表データ!C$3:Q$3,0)),"")</f>
        <v/>
      </c>
      <c r="K257" s="425" t="str">
        <f>IFERROR(+J257*H257,"")</f>
        <v/>
      </c>
      <c r="L257" s="422" t="str">
        <f t="shared" ref="L257:L270" si="143">+IF(L200="","",L200)</f>
        <v/>
      </c>
    </row>
    <row r="258" spans="2:15" s="398" customFormat="1" ht="15" customHeight="1" x14ac:dyDescent="0.15">
      <c r="B258" s="423" t="str">
        <f t="shared" si="141"/>
        <v/>
      </c>
      <c r="C258" s="423" t="str">
        <f t="shared" si="141"/>
        <v/>
      </c>
      <c r="D258" s="426"/>
      <c r="E258" s="426"/>
      <c r="F258" s="426"/>
      <c r="G258" s="426"/>
      <c r="H258" s="423" t="str">
        <f t="shared" si="142"/>
        <v/>
      </c>
      <c r="I258" s="423" t="str">
        <f t="shared" si="142"/>
        <v/>
      </c>
      <c r="J258" s="423" t="str">
        <f>+IF(J201="","",J201)</f>
        <v/>
      </c>
      <c r="K258" s="423" t="str">
        <f>+IF(K201="","",K201)</f>
        <v/>
      </c>
      <c r="L258" s="422" t="str">
        <f t="shared" si="143"/>
        <v/>
      </c>
      <c r="M258" s="423" t="str">
        <f>+IF(M201="","",M201)</f>
        <v/>
      </c>
    </row>
    <row r="259" spans="2:15" s="398" customFormat="1" ht="15" customHeight="1" x14ac:dyDescent="0.15">
      <c r="B259" s="423" t="str">
        <f t="shared" si="141"/>
        <v/>
      </c>
      <c r="C259" s="423" t="str">
        <f t="shared" si="141"/>
        <v/>
      </c>
      <c r="D259" s="426"/>
      <c r="E259" s="426"/>
      <c r="F259" s="426"/>
      <c r="G259" s="426"/>
      <c r="H259" s="423" t="str">
        <f t="shared" si="142"/>
        <v/>
      </c>
      <c r="I259" s="423" t="str">
        <f t="shared" si="142"/>
        <v/>
      </c>
      <c r="J259" s="423" t="str">
        <f>+IF(J202="","",J202)</f>
        <v/>
      </c>
      <c r="K259" s="423" t="str">
        <f>+IF(K202="","",K202)</f>
        <v/>
      </c>
      <c r="L259" s="422" t="str">
        <f t="shared" si="143"/>
        <v/>
      </c>
      <c r="M259" s="423" t="str">
        <f>+IF(M202="","",M202)</f>
        <v/>
      </c>
    </row>
    <row r="260" spans="2:15" s="398" customFormat="1" ht="15" customHeight="1" x14ac:dyDescent="0.15">
      <c r="B260" s="423" t="str">
        <f t="shared" si="141"/>
        <v>□</v>
      </c>
      <c r="C260" s="423" t="str">
        <f t="shared" si="141"/>
        <v>加算手数料</v>
      </c>
      <c r="D260" s="426"/>
      <c r="E260" s="426"/>
      <c r="F260" s="426"/>
      <c r="G260" s="426"/>
      <c r="H260" s="428" t="str">
        <f t="shared" si="142"/>
        <v/>
      </c>
      <c r="I260" s="428" t="str">
        <f t="shared" si="142"/>
        <v/>
      </c>
      <c r="J260" s="424"/>
      <c r="K260" s="425"/>
      <c r="L260" s="422" t="str">
        <f t="shared" si="143"/>
        <v/>
      </c>
    </row>
    <row r="261" spans="2:15" s="398" customFormat="1" ht="15" customHeight="1" x14ac:dyDescent="0.15">
      <c r="B261" s="423" t="str">
        <f t="shared" si="141"/>
        <v/>
      </c>
      <c r="C261" s="423" t="str">
        <f t="shared" si="141"/>
        <v/>
      </c>
      <c r="D261" s="426"/>
      <c r="E261" s="426"/>
      <c r="F261" s="426"/>
      <c r="G261" s="426"/>
      <c r="H261" s="428" t="str">
        <f t="shared" si="142"/>
        <v/>
      </c>
      <c r="I261" s="428" t="str">
        <f t="shared" si="142"/>
        <v/>
      </c>
      <c r="J261" s="424" t="str">
        <f>IFERROR(INDEX(確認申請料金表データ!X$318:AN$341,MATCH($K$16,確認申請料金表データ!B$318:B$341,0),MATCH($C261,確認申請料金表データ!X$3:AN$3,0)),"")</f>
        <v/>
      </c>
      <c r="K261" s="425" t="str">
        <f>IFERROR(+J261*H261,"")</f>
        <v/>
      </c>
      <c r="L261" s="422" t="str">
        <f t="shared" si="143"/>
        <v/>
      </c>
    </row>
    <row r="262" spans="2:15" s="398" customFormat="1" ht="15" customHeight="1" x14ac:dyDescent="0.15">
      <c r="B262" s="423" t="str">
        <f t="shared" si="141"/>
        <v/>
      </c>
      <c r="C262" s="423" t="str">
        <f t="shared" si="141"/>
        <v/>
      </c>
      <c r="D262" s="426"/>
      <c r="E262" s="426"/>
      <c r="F262" s="426"/>
      <c r="G262" s="426"/>
      <c r="H262" s="428" t="str">
        <f t="shared" si="142"/>
        <v/>
      </c>
      <c r="I262" s="428" t="str">
        <f t="shared" si="142"/>
        <v/>
      </c>
      <c r="J262" s="424" t="str">
        <f>IFERROR(INDEX(確認申請料金表データ!X$318:AN$341,MATCH($K$16,確認申請料金表データ!B$318:B$341,0),MATCH($C262,確認申請料金表データ!X$3:AN$3,0)),"")</f>
        <v/>
      </c>
      <c r="K262" s="425" t="str">
        <f t="shared" ref="K262:K265" si="144">IFERROR(+J262*H262,"")</f>
        <v/>
      </c>
      <c r="L262" s="422" t="str">
        <f t="shared" si="143"/>
        <v/>
      </c>
      <c r="O262" s="430"/>
    </row>
    <row r="263" spans="2:15" s="398" customFormat="1" ht="15" customHeight="1" x14ac:dyDescent="0.15">
      <c r="B263" s="423" t="str">
        <f t="shared" si="141"/>
        <v/>
      </c>
      <c r="C263" s="423" t="str">
        <f t="shared" si="141"/>
        <v/>
      </c>
      <c r="D263" s="426"/>
      <c r="E263" s="426"/>
      <c r="F263" s="426"/>
      <c r="G263" s="426"/>
      <c r="H263" s="428" t="str">
        <f t="shared" si="142"/>
        <v/>
      </c>
      <c r="I263" s="428" t="str">
        <f t="shared" si="142"/>
        <v/>
      </c>
      <c r="J263" s="424" t="str">
        <f>IFERROR(INDEX(確認申請料金表データ!X$318:AN$341,MATCH($K$16,確認申請料金表データ!B$318:B$341,0),MATCH($C263,確認申請料金表データ!X$3:AN$3,0)),"")</f>
        <v/>
      </c>
      <c r="K263" s="425" t="str">
        <f t="shared" si="144"/>
        <v/>
      </c>
      <c r="L263" s="422" t="str">
        <f t="shared" si="143"/>
        <v/>
      </c>
    </row>
    <row r="264" spans="2:15" s="398" customFormat="1" ht="15" customHeight="1" x14ac:dyDescent="0.15">
      <c r="B264" s="423" t="str">
        <f t="shared" si="141"/>
        <v/>
      </c>
      <c r="C264" s="423" t="str">
        <f t="shared" si="141"/>
        <v/>
      </c>
      <c r="D264" s="426"/>
      <c r="E264" s="426"/>
      <c r="F264" s="426"/>
      <c r="G264" s="426"/>
      <c r="H264" s="428" t="str">
        <f t="shared" si="142"/>
        <v/>
      </c>
      <c r="I264" s="428" t="str">
        <f t="shared" si="142"/>
        <v/>
      </c>
      <c r="J264" s="424" t="str">
        <f>IFERROR(INDEX(確認申請料金表データ!X$318:AN$341,MATCH($K$16,確認申請料金表データ!B$318:B$341,0),MATCH($C264,確認申請料金表データ!X$3:AN$3,0)),"")</f>
        <v/>
      </c>
      <c r="K264" s="425" t="str">
        <f t="shared" si="144"/>
        <v/>
      </c>
      <c r="L264" s="422" t="str">
        <f t="shared" si="143"/>
        <v/>
      </c>
    </row>
    <row r="265" spans="2:15" s="398" customFormat="1" ht="15" customHeight="1" x14ac:dyDescent="0.15">
      <c r="B265" s="423" t="str">
        <f t="shared" si="141"/>
        <v/>
      </c>
      <c r="C265" s="423" t="str">
        <f t="shared" si="141"/>
        <v/>
      </c>
      <c r="D265" s="426"/>
      <c r="E265" s="426"/>
      <c r="F265" s="426"/>
      <c r="G265" s="426"/>
      <c r="H265" s="428" t="str">
        <f t="shared" si="142"/>
        <v/>
      </c>
      <c r="I265" s="428" t="str">
        <f t="shared" si="142"/>
        <v/>
      </c>
      <c r="J265" s="424" t="str">
        <f>IFERROR(INDEX(確認申請料金表データ!X$318:AN$341,MATCH($K$16,確認申請料金表データ!B$318:B$341,0),MATCH($C265,確認申請料金表データ!X$3:AN$3,0)),"")</f>
        <v/>
      </c>
      <c r="K265" s="425" t="str">
        <f t="shared" si="144"/>
        <v/>
      </c>
      <c r="L265" s="422" t="str">
        <f t="shared" si="143"/>
        <v/>
      </c>
    </row>
    <row r="266" spans="2:15" s="398" customFormat="1" ht="15" customHeight="1" x14ac:dyDescent="0.15">
      <c r="B266" s="423" t="str">
        <f t="shared" si="141"/>
        <v/>
      </c>
      <c r="C266" s="423" t="str">
        <f t="shared" si="141"/>
        <v/>
      </c>
      <c r="D266" s="423"/>
      <c r="E266" s="423"/>
      <c r="F266" s="423"/>
      <c r="G266" s="423"/>
      <c r="H266" s="428" t="str">
        <f t="shared" si="142"/>
        <v/>
      </c>
      <c r="I266" s="428" t="str">
        <f t="shared" si="142"/>
        <v/>
      </c>
      <c r="J266" s="424" t="str">
        <f>IFERROR(INDEX(確認申請料金表データ!X$318:AN$341,MATCH($K$16,確認申請料金表データ!B$318:B$341,0),MATCH($C266,確認申請料金表データ!X$3:AN$3,0)),"")</f>
        <v/>
      </c>
      <c r="K266" s="425" t="str">
        <f>IFERROR(+J266*H266,"")</f>
        <v/>
      </c>
      <c r="L266" s="422" t="str">
        <f t="shared" si="143"/>
        <v/>
      </c>
    </row>
    <row r="267" spans="2:15" s="398" customFormat="1" ht="15" customHeight="1" x14ac:dyDescent="0.15">
      <c r="B267" s="423" t="str">
        <f t="shared" si="141"/>
        <v/>
      </c>
      <c r="C267" s="423" t="str">
        <f t="shared" si="141"/>
        <v/>
      </c>
      <c r="D267" s="423"/>
      <c r="E267" s="423"/>
      <c r="F267" s="423"/>
      <c r="G267" s="423"/>
      <c r="H267" s="428" t="str">
        <f t="shared" si="142"/>
        <v/>
      </c>
      <c r="I267" s="428" t="str">
        <f t="shared" si="142"/>
        <v/>
      </c>
      <c r="J267" s="424" t="str">
        <f>IFERROR(INDEX(確認申請料金表データ!X$318:AN$341,MATCH($K$16,確認申請料金表データ!B$318:B$341,0),MATCH($C267,確認申請料金表データ!X$3:AN$3,0)),"")</f>
        <v/>
      </c>
      <c r="K267" s="425" t="str">
        <f>IFERROR(+J267*H267,"")</f>
        <v/>
      </c>
      <c r="L267" s="422" t="str">
        <f t="shared" si="143"/>
        <v/>
      </c>
    </row>
    <row r="268" spans="2:15" s="398" customFormat="1" ht="15" customHeight="1" x14ac:dyDescent="0.15">
      <c r="B268" s="423" t="str">
        <f t="shared" si="141"/>
        <v/>
      </c>
      <c r="C268" s="423" t="str">
        <f t="shared" si="141"/>
        <v/>
      </c>
      <c r="D268" s="423"/>
      <c r="E268" s="423"/>
      <c r="F268" s="423"/>
      <c r="G268" s="423"/>
      <c r="H268" s="428" t="str">
        <f t="shared" si="142"/>
        <v/>
      </c>
      <c r="I268" s="428" t="str">
        <f t="shared" si="142"/>
        <v/>
      </c>
      <c r="J268" s="424" t="str">
        <f>IFERROR(INDEX(確認申請料金表データ!X$318:AN$341,MATCH($K$16,確認申請料金表データ!B$318:B$341,0),MATCH($C268,確認申請料金表データ!X$3:AN$3,0)),"")</f>
        <v/>
      </c>
      <c r="K268" s="425" t="str">
        <f t="shared" ref="K268" si="145">IFERROR(+J268*H268,"")</f>
        <v/>
      </c>
      <c r="L268" s="422" t="str">
        <f t="shared" si="143"/>
        <v/>
      </c>
    </row>
    <row r="269" spans="2:15" s="398" customFormat="1" ht="15" customHeight="1" x14ac:dyDescent="0.15">
      <c r="B269" s="423" t="str">
        <f t="shared" si="141"/>
        <v/>
      </c>
      <c r="C269" s="423" t="str">
        <f t="shared" si="141"/>
        <v/>
      </c>
      <c r="D269" s="423" t="str">
        <f>+IF(D212="","",D212)</f>
        <v/>
      </c>
      <c r="E269" s="423" t="str">
        <f>+IF(E212="","",E212)</f>
        <v/>
      </c>
      <c r="F269" s="423" t="str">
        <f>+IF(F212="","",F212)</f>
        <v/>
      </c>
      <c r="G269" s="423" t="str">
        <f>+IF(G212="","",G212)</f>
        <v/>
      </c>
      <c r="H269" s="423" t="str">
        <f t="shared" si="142"/>
        <v/>
      </c>
      <c r="I269" s="423" t="str">
        <f t="shared" si="142"/>
        <v/>
      </c>
      <c r="J269" s="423" t="str">
        <f>+IF(J212="","",J212)</f>
        <v/>
      </c>
      <c r="K269" s="423" t="str">
        <f>+IF(K212="","",K212)</f>
        <v/>
      </c>
      <c r="L269" s="422" t="str">
        <f t="shared" si="143"/>
        <v/>
      </c>
      <c r="O269" s="429"/>
    </row>
    <row r="270" spans="2:15" s="398" customFormat="1" ht="15" customHeight="1" x14ac:dyDescent="0.15">
      <c r="B270" s="423" t="str">
        <f t="shared" si="141"/>
        <v>□</v>
      </c>
      <c r="C270" s="423" t="str">
        <f t="shared" si="141"/>
        <v>省エネ基準省令に基づく基準による審査(仕様基準)</v>
      </c>
      <c r="D270" s="426"/>
      <c r="E270" s="426"/>
      <c r="F270" s="426"/>
      <c r="G270" s="426"/>
      <c r="H270" s="428" t="str">
        <f t="shared" si="142"/>
        <v/>
      </c>
      <c r="I270" s="428" t="str">
        <f t="shared" si="142"/>
        <v/>
      </c>
      <c r="J270" s="424"/>
      <c r="K270" s="425"/>
      <c r="L270" s="422" t="str">
        <f t="shared" si="143"/>
        <v/>
      </c>
    </row>
    <row r="271" spans="2:15" s="398" customFormat="1" ht="15" customHeight="1" x14ac:dyDescent="0.15">
      <c r="B271" s="423" t="str">
        <f t="shared" si="141"/>
        <v/>
      </c>
      <c r="C271" s="423" t="str">
        <f t="shared" si="141"/>
        <v/>
      </c>
      <c r="D271" s="426"/>
      <c r="E271" s="426"/>
      <c r="F271" s="426"/>
      <c r="G271" s="426"/>
      <c r="H271" s="428" t="str">
        <f t="shared" si="142"/>
        <v/>
      </c>
      <c r="I271" s="428" t="str">
        <f t="shared" si="142"/>
        <v/>
      </c>
      <c r="J271" s="424" t="str">
        <f>IFERROR(INDEX(確認申請料金表データ!S$318:V$341,MATCH($K$16,確認申請料金表データ!B$318:B$341,0),MATCH($C271,確認申請料金表データ!S$3:V$3,0)),"")</f>
        <v/>
      </c>
      <c r="K271" s="425" t="str">
        <f t="shared" ref="K271:K272" si="146">IFERROR(+J271*H271,"")</f>
        <v/>
      </c>
      <c r="L271" s="422" t="str">
        <f t="shared" ref="L271" si="147">+IF(L214="","",L214)</f>
        <v/>
      </c>
    </row>
    <row r="272" spans="2:15" s="398" customFormat="1" ht="15" customHeight="1" x14ac:dyDescent="0.15">
      <c r="B272" s="423" t="str">
        <f t="shared" ref="B272" si="148">+IF(B215="","",B215)</f>
        <v/>
      </c>
      <c r="C272" s="423" t="str">
        <f>+IF(C215="","",C215)</f>
        <v/>
      </c>
      <c r="D272" s="426"/>
      <c r="E272" s="426"/>
      <c r="F272" s="426"/>
      <c r="G272" s="426"/>
      <c r="H272" s="428" t="str">
        <f t="shared" ref="H272:I272" si="149">+IF(H215="","",H215)</f>
        <v/>
      </c>
      <c r="I272" s="428" t="str">
        <f t="shared" si="149"/>
        <v/>
      </c>
      <c r="J272" s="424" t="str">
        <f>IFERROR(INDEX(確認申請料金表データ!S$318:V$341,MATCH($K$16,確認申請料金表データ!B$318:B$341,0),MATCH($C272,確認申請料金表データ!S$3:V$3,0)),"")</f>
        <v/>
      </c>
      <c r="K272" s="425" t="str">
        <f t="shared" si="146"/>
        <v/>
      </c>
      <c r="L272" s="422" t="str">
        <f t="shared" ref="L272" si="150">+IF(L215="","",L215)</f>
        <v/>
      </c>
    </row>
    <row r="273" spans="2:27" s="398" customFormat="1" ht="15" customHeight="1" x14ac:dyDescent="0.15">
      <c r="B273" s="423" t="str">
        <f t="shared" ref="B273" si="151">+IF(B216="","",B216)</f>
        <v/>
      </c>
      <c r="C273" s="423" t="str">
        <f>+IF(C216="","",C216)</f>
        <v/>
      </c>
      <c r="D273" s="426"/>
      <c r="E273" s="426"/>
      <c r="F273" s="426"/>
      <c r="G273" s="426"/>
      <c r="H273" s="422" t="str">
        <f t="shared" ref="H273:L273" si="152">+IF(H216="","",H216)</f>
        <v/>
      </c>
      <c r="I273" s="422" t="str">
        <f t="shared" si="152"/>
        <v/>
      </c>
      <c r="J273" s="422" t="str">
        <f t="shared" si="152"/>
        <v/>
      </c>
      <c r="K273" s="422" t="str">
        <f t="shared" si="152"/>
        <v/>
      </c>
      <c r="L273" s="422" t="str">
        <f t="shared" si="152"/>
        <v/>
      </c>
    </row>
    <row r="274" spans="2:27" s="398" customFormat="1" ht="15" customHeight="1" x14ac:dyDescent="0.15">
      <c r="B274" s="423" t="str">
        <f t="shared" ref="B274" si="153">+IF(B217="","",B217)</f>
        <v/>
      </c>
      <c r="C274" s="423" t="str">
        <f>+IF(C217="","",C217)</f>
        <v/>
      </c>
      <c r="D274" s="431"/>
      <c r="E274" s="431"/>
      <c r="F274" s="431"/>
      <c r="G274" s="431"/>
      <c r="H274" s="432" t="s">
        <v>21</v>
      </c>
      <c r="I274" s="433"/>
      <c r="J274" s="433"/>
      <c r="K274" s="434">
        <f>SUM(K246:K272)</f>
        <v>31499.999999999996</v>
      </c>
      <c r="L274" s="422" t="str">
        <f t="shared" ref="L274" si="154">+IF(L217="","",L217)</f>
        <v>-</v>
      </c>
    </row>
    <row r="275" spans="2:27" s="398" customFormat="1" ht="15" customHeight="1" x14ac:dyDescent="0.15">
      <c r="B275" s="435" t="str">
        <f t="shared" ref="B275:N275" si="155">+IF(B218="","",B218)</f>
        <v>□</v>
      </c>
      <c r="C275" s="436" t="str">
        <f t="shared" si="155"/>
        <v>出張費及び交通費（当機関規定による）【課税対象、消費税込み】</v>
      </c>
      <c r="D275" s="437" t="str">
        <f t="shared" si="155"/>
        <v/>
      </c>
      <c r="E275" s="437" t="str">
        <f t="shared" si="155"/>
        <v/>
      </c>
      <c r="F275" s="437" t="str">
        <f t="shared" si="155"/>
        <v/>
      </c>
      <c r="G275" s="437" t="str">
        <f t="shared" si="155"/>
        <v/>
      </c>
      <c r="H275" s="438" t="str">
        <f t="shared" si="155"/>
        <v/>
      </c>
      <c r="I275" s="435" t="str">
        <f t="shared" si="155"/>
        <v/>
      </c>
      <c r="J275" s="439" t="str">
        <f t="shared" si="155"/>
        <v/>
      </c>
      <c r="K275" s="439" t="str">
        <f t="shared" si="155"/>
        <v/>
      </c>
      <c r="L275" s="435" t="str">
        <f t="shared" si="155"/>
        <v/>
      </c>
      <c r="M275" s="398" t="str">
        <f t="shared" si="155"/>
        <v/>
      </c>
      <c r="N275" s="398" t="str">
        <f t="shared" si="155"/>
        <v/>
      </c>
    </row>
    <row r="276" spans="2:27" s="398" customFormat="1" ht="15" customHeight="1" x14ac:dyDescent="0.15">
      <c r="B276" s="440" t="str">
        <f t="shared" ref="B276:M276" si="156">+IF(B219="","",B219)</f>
        <v/>
      </c>
      <c r="C276" s="440" t="str">
        <f t="shared" si="156"/>
        <v>出張交通費</v>
      </c>
      <c r="D276" s="441" t="str">
        <f t="shared" si="156"/>
        <v>東京都</v>
      </c>
      <c r="E276" s="426" t="str">
        <f t="shared" si="156"/>
        <v/>
      </c>
      <c r="F276" s="426" t="str">
        <f t="shared" si="156"/>
        <v/>
      </c>
      <c r="G276" s="442" t="str">
        <f t="shared" si="156"/>
        <v/>
      </c>
      <c r="H276" s="443">
        <f t="shared" si="156"/>
        <v>1</v>
      </c>
      <c r="I276" s="428" t="str">
        <f t="shared" si="156"/>
        <v>回</v>
      </c>
      <c r="J276" s="444">
        <f t="shared" si="156"/>
        <v>2200</v>
      </c>
      <c r="K276" s="425">
        <f t="shared" si="156"/>
        <v>2200</v>
      </c>
      <c r="L276" s="445" t="str">
        <f t="shared" si="156"/>
        <v>-</v>
      </c>
      <c r="M276" s="398" t="str">
        <f t="shared" si="156"/>
        <v/>
      </c>
      <c r="O276" s="429"/>
    </row>
    <row r="277" spans="2:27" s="398" customFormat="1" ht="15" customHeight="1" x14ac:dyDescent="0.15">
      <c r="B277" s="446" t="str">
        <f t="shared" ref="B277:H277" si="157">+IF(B220="","",B220)</f>
        <v/>
      </c>
      <c r="C277" s="447" t="str">
        <f t="shared" si="157"/>
        <v/>
      </c>
      <c r="D277" s="447" t="str">
        <f t="shared" si="157"/>
        <v/>
      </c>
      <c r="E277" s="447" t="str">
        <f t="shared" si="157"/>
        <v/>
      </c>
      <c r="F277" s="447" t="str">
        <f t="shared" si="157"/>
        <v/>
      </c>
      <c r="G277" s="447" t="str">
        <f t="shared" si="157"/>
        <v/>
      </c>
      <c r="H277" s="448" t="str">
        <f t="shared" si="157"/>
        <v>合     計</v>
      </c>
      <c r="I277" s="448"/>
      <c r="J277" s="449"/>
      <c r="K277" s="450">
        <f t="shared" ref="K277:N277" si="158">+IF(K220="","",K220)</f>
        <v>2200</v>
      </c>
      <c r="L277" s="446" t="str">
        <f t="shared" si="158"/>
        <v>-</v>
      </c>
      <c r="M277" s="398" t="str">
        <f t="shared" si="158"/>
        <v/>
      </c>
      <c r="N277" s="398" t="str">
        <f t="shared" si="158"/>
        <v/>
      </c>
    </row>
    <row r="278" spans="2:27" s="398" customFormat="1" ht="15" customHeight="1" thickBot="1" x14ac:dyDescent="0.2">
      <c r="C278" s="398" t="s">
        <v>91</v>
      </c>
      <c r="H278" s="451" t="s">
        <v>2</v>
      </c>
      <c r="I278" s="451"/>
      <c r="J278" s="451"/>
      <c r="K278" s="452">
        <f>K274+K277</f>
        <v>33700</v>
      </c>
      <c r="L278" s="453" t="s">
        <v>1</v>
      </c>
    </row>
    <row r="279" spans="2:27" s="398" customFormat="1" ht="15" customHeight="1" thickTop="1" x14ac:dyDescent="0.15">
      <c r="B279" s="409"/>
      <c r="C279" s="412" t="s">
        <v>19</v>
      </c>
      <c r="I279" s="454"/>
      <c r="J279" s="454"/>
      <c r="K279" s="455"/>
      <c r="L279" s="412"/>
    </row>
    <row r="280" spans="2:27" s="398" customFormat="1" ht="15" customHeight="1" x14ac:dyDescent="0.15">
      <c r="C280" s="412" t="s">
        <v>22</v>
      </c>
    </row>
    <row r="281" spans="2:27" s="398" customFormat="1" ht="15" customHeight="1" x14ac:dyDescent="0.15">
      <c r="C281" s="412" t="s">
        <v>16</v>
      </c>
    </row>
    <row r="282" spans="2:27" s="398" customFormat="1" ht="15" customHeight="1" x14ac:dyDescent="0.15">
      <c r="C282" s="412" t="s">
        <v>20</v>
      </c>
    </row>
    <row r="283" spans="2:27" s="398" customFormat="1" ht="15" customHeight="1" x14ac:dyDescent="0.15">
      <c r="C283" s="412" t="s">
        <v>18</v>
      </c>
    </row>
    <row r="284" spans="2:27" s="392" customFormat="1" ht="15" customHeight="1" x14ac:dyDescent="0.15">
      <c r="C284" s="398"/>
      <c r="K284" s="456"/>
      <c r="O284" s="398"/>
    </row>
    <row r="285" spans="2:27" s="392" customFormat="1" ht="16.5" customHeight="1" x14ac:dyDescent="0.15">
      <c r="L285" s="456" t="s">
        <v>32</v>
      </c>
    </row>
    <row r="286" spans="2:27" s="392" customFormat="1" ht="19.5" customHeight="1" x14ac:dyDescent="0.15">
      <c r="B286" s="388" t="s">
        <v>29</v>
      </c>
      <c r="C286" s="389"/>
      <c r="D286" s="388"/>
      <c r="E286" s="390"/>
      <c r="F286" s="390"/>
      <c r="G286" s="390"/>
      <c r="H286" s="389"/>
      <c r="I286" s="389"/>
      <c r="J286" s="389"/>
      <c r="K286" s="389"/>
      <c r="L286" s="391" t="str">
        <f>+確認申請料金表データ!A419</f>
        <v>5.大和リース　特約　確認、検査、加算手数料30％off</v>
      </c>
      <c r="O286" s="393"/>
      <c r="P286" s="394"/>
      <c r="Q286" s="394"/>
      <c r="R286" s="394"/>
      <c r="S286" s="394"/>
      <c r="T286" s="393"/>
      <c r="U286" s="394"/>
      <c r="V286" s="394"/>
      <c r="W286" s="394"/>
      <c r="X286" s="394"/>
      <c r="Y286" s="394"/>
      <c r="Z286" s="394"/>
      <c r="AA286" s="394"/>
    </row>
    <row r="287" spans="2:27" s="392" customFormat="1" ht="15" customHeight="1" x14ac:dyDescent="0.15">
      <c r="E287" s="395"/>
      <c r="F287" s="395"/>
      <c r="G287" s="395"/>
      <c r="H287" s="395"/>
      <c r="I287" s="395"/>
      <c r="J287" s="762">
        <f ca="1">TODAY()</f>
        <v>45848</v>
      </c>
      <c r="K287" s="762"/>
      <c r="L287" s="395"/>
    </row>
    <row r="288" spans="2:27" s="392" customFormat="1" ht="15" customHeight="1" x14ac:dyDescent="0.15">
      <c r="E288" s="395"/>
      <c r="F288" s="395"/>
      <c r="G288" s="395"/>
      <c r="H288" s="395"/>
      <c r="I288" s="395"/>
      <c r="J288" s="396"/>
      <c r="K288" s="396"/>
      <c r="L288" s="395"/>
    </row>
    <row r="289" spans="2:15" s="392" customFormat="1" ht="15" customHeight="1" x14ac:dyDescent="0.15">
      <c r="C289" s="759" t="str">
        <f>+入力シート!$E$9&amp;"　　"&amp;入力シート!$G$9</f>
        <v>　　御中</v>
      </c>
      <c r="D289" s="791"/>
    </row>
    <row r="290" spans="2:15" s="392" customFormat="1" ht="15" customHeight="1" x14ac:dyDescent="0.15">
      <c r="C290" s="397" t="str">
        <f t="shared" ref="C290:C298" si="159">+IF(C233="","",C233)</f>
        <v/>
      </c>
    </row>
    <row r="291" spans="2:15" s="392" customFormat="1" ht="15" customHeight="1" x14ac:dyDescent="0.15">
      <c r="C291" s="392" t="str">
        <f t="shared" si="159"/>
        <v/>
      </c>
      <c r="H291" s="398" t="str">
        <f>+IF(H234="","",H234)</f>
        <v>〒150-0002  東京都渋谷区渋谷1-13-9</v>
      </c>
      <c r="I291" s="399"/>
    </row>
    <row r="292" spans="2:15" s="392" customFormat="1" ht="15" customHeight="1" x14ac:dyDescent="0.15">
      <c r="B292" s="392" t="str">
        <f t="shared" ref="B292:B300" si="160">+IF(B235="","",B235)</f>
        <v/>
      </c>
      <c r="C292" s="392" t="str">
        <f t="shared" si="159"/>
        <v/>
      </c>
      <c r="E292" s="392" t="str">
        <f t="shared" ref="E292:G292" si="161">+IF(E235="","",E235)</f>
        <v/>
      </c>
      <c r="F292" s="392" t="str">
        <f t="shared" si="161"/>
        <v/>
      </c>
      <c r="G292" s="392" t="str">
        <f t="shared" si="161"/>
        <v/>
      </c>
      <c r="H292" s="392" t="str">
        <f>+IF(H235="","",H235)</f>
        <v>株式会社 J 建築検査センター</v>
      </c>
      <c r="I292" s="400"/>
      <c r="L292" s="401"/>
      <c r="M292" s="401"/>
    </row>
    <row r="293" spans="2:15" s="392" customFormat="1" ht="15" customHeight="1" x14ac:dyDescent="0.15">
      <c r="B293" s="392" t="str">
        <f t="shared" si="160"/>
        <v/>
      </c>
      <c r="C293" s="392" t="str">
        <f t="shared" si="159"/>
        <v/>
      </c>
      <c r="E293" s="392" t="str">
        <f t="shared" ref="E293:G293" si="162">+IF(E236="","",E236)</f>
        <v/>
      </c>
      <c r="F293" s="392" t="str">
        <f t="shared" si="162"/>
        <v/>
      </c>
      <c r="G293" s="392" t="str">
        <f t="shared" si="162"/>
        <v/>
      </c>
      <c r="H293" s="398" t="str">
        <f>+IF(H236="","",H236)</f>
        <v>TEL:03-5464-7778　FAX:03-5464-7779</v>
      </c>
      <c r="I293" s="400"/>
      <c r="M293" s="392" t="str">
        <f>+IF(M236="","",M236)</f>
        <v/>
      </c>
    </row>
    <row r="294" spans="2:15" s="392" customFormat="1" ht="15" customHeight="1" x14ac:dyDescent="0.15">
      <c r="B294" s="392" t="str">
        <f t="shared" si="160"/>
        <v/>
      </c>
      <c r="C294" s="402" t="str">
        <f t="shared" si="159"/>
        <v>下記の通り、お見積申し上げます。</v>
      </c>
      <c r="E294" s="392" t="str">
        <f t="shared" ref="E294:G294" si="163">+IF(E237="","",E237)</f>
        <v/>
      </c>
      <c r="F294" s="392" t="str">
        <f t="shared" si="163"/>
        <v/>
      </c>
      <c r="G294" s="392" t="str">
        <f t="shared" si="163"/>
        <v/>
      </c>
      <c r="I294" s="400"/>
      <c r="M294" s="392" t="str">
        <f>+IF(M237="","",M237)</f>
        <v/>
      </c>
    </row>
    <row r="295" spans="2:15" s="392" customFormat="1" ht="11.25" customHeight="1" x14ac:dyDescent="0.15">
      <c r="B295" s="392" t="str">
        <f t="shared" si="160"/>
        <v/>
      </c>
      <c r="C295" s="403" t="str">
        <f t="shared" si="159"/>
        <v/>
      </c>
      <c r="D295" s="403"/>
      <c r="E295" s="403" t="str">
        <f t="shared" ref="E295:G295" si="164">+IF(E238="","",E238)</f>
        <v/>
      </c>
      <c r="F295" s="403" t="str">
        <f t="shared" si="164"/>
        <v/>
      </c>
      <c r="G295" s="403" t="str">
        <f t="shared" si="164"/>
        <v/>
      </c>
      <c r="H295" s="403"/>
      <c r="I295" s="403"/>
      <c r="J295" s="403"/>
      <c r="K295" s="403"/>
    </row>
    <row r="296" spans="2:15" s="394" customFormat="1" ht="24" customHeight="1" x14ac:dyDescent="0.15">
      <c r="B296" s="394" t="str">
        <f t="shared" si="160"/>
        <v/>
      </c>
      <c r="C296" s="404" t="str">
        <f t="shared" si="159"/>
        <v>件       名</v>
      </c>
      <c r="D296" s="764">
        <f>+IF(D239="","",D239)</f>
        <v>0</v>
      </c>
      <c r="E296" s="788" t="str">
        <f t="shared" ref="E296:L296" si="165">+IF(E239="","",E239)</f>
        <v/>
      </c>
      <c r="F296" s="788" t="str">
        <f t="shared" si="165"/>
        <v/>
      </c>
      <c r="G296" s="788" t="str">
        <f t="shared" si="165"/>
        <v/>
      </c>
      <c r="H296" s="788" t="str">
        <f t="shared" si="165"/>
        <v/>
      </c>
      <c r="I296" s="788" t="str">
        <f t="shared" si="165"/>
        <v/>
      </c>
      <c r="J296" s="788" t="str">
        <f t="shared" si="165"/>
        <v/>
      </c>
      <c r="K296" s="788" t="str">
        <f t="shared" si="165"/>
        <v/>
      </c>
      <c r="L296" s="394" t="str">
        <f t="shared" si="165"/>
        <v/>
      </c>
    </row>
    <row r="297" spans="2:15" s="394" customFormat="1" ht="24" customHeight="1" x14ac:dyDescent="0.15">
      <c r="B297" s="394" t="str">
        <f t="shared" si="160"/>
        <v/>
      </c>
      <c r="C297" s="405" t="str">
        <f t="shared" si="159"/>
        <v>総　　　額</v>
      </c>
      <c r="D297" s="406">
        <f>+K335</f>
        <v>33700</v>
      </c>
      <c r="E297" s="407" t="str">
        <f t="shared" ref="E297:L297" si="166">+IF(E240="","",E240)</f>
        <v>-</v>
      </c>
      <c r="F297" s="407" t="str">
        <f t="shared" si="166"/>
        <v/>
      </c>
      <c r="G297" s="407" t="str">
        <f t="shared" si="166"/>
        <v/>
      </c>
      <c r="H297" s="407" t="str">
        <f t="shared" si="166"/>
        <v/>
      </c>
      <c r="I297" s="408" t="str">
        <f t="shared" si="166"/>
        <v/>
      </c>
      <c r="J297" s="408" t="str">
        <f t="shared" si="166"/>
        <v/>
      </c>
      <c r="K297" s="408" t="str">
        <f t="shared" si="166"/>
        <v/>
      </c>
      <c r="L297" s="394" t="str">
        <f t="shared" si="166"/>
        <v/>
      </c>
    </row>
    <row r="298" spans="2:15" s="398" customFormat="1" ht="15" customHeight="1" x14ac:dyDescent="0.15">
      <c r="B298" s="409" t="str">
        <f t="shared" si="160"/>
        <v/>
      </c>
      <c r="C298" s="410" t="str">
        <f t="shared" si="159"/>
        <v>御見積書有効期限：</v>
      </c>
      <c r="D298" s="411" t="str">
        <f>+IF(D241="","",D241)</f>
        <v>1ヶ月</v>
      </c>
      <c r="E298" s="412" t="str">
        <f t="shared" ref="E298:L298" si="167">+IF(E241="","",E241)</f>
        <v>御支払条件：</v>
      </c>
      <c r="F298" s="410" t="str">
        <f t="shared" si="167"/>
        <v/>
      </c>
      <c r="G298" s="763" t="str">
        <f t="shared" si="167"/>
        <v/>
      </c>
      <c r="H298" s="789" t="str">
        <f t="shared" si="167"/>
        <v/>
      </c>
      <c r="I298" s="789" t="str">
        <f t="shared" si="167"/>
        <v/>
      </c>
      <c r="J298" s="789" t="str">
        <f t="shared" si="167"/>
        <v/>
      </c>
      <c r="K298" s="789" t="str">
        <f t="shared" si="167"/>
        <v/>
      </c>
      <c r="L298" s="398" t="str">
        <f t="shared" si="167"/>
        <v/>
      </c>
      <c r="M298" s="398" t="str">
        <f>+IF(M241="","",M241)</f>
        <v/>
      </c>
      <c r="O298" s="394"/>
    </row>
    <row r="299" spans="2:15" s="398" customFormat="1" ht="15" customHeight="1" x14ac:dyDescent="0.15">
      <c r="B299" s="760" t="str">
        <f t="shared" si="160"/>
        <v>品    名　・　摘    要</v>
      </c>
      <c r="C299" s="760"/>
      <c r="D299" s="760" t="str">
        <f>+IF(D242="","",D242)</f>
        <v/>
      </c>
      <c r="E299" s="760" t="str">
        <f t="shared" ref="E299:L299" si="168">+IF(E242="","",E242)</f>
        <v/>
      </c>
      <c r="F299" s="760" t="str">
        <f t="shared" si="168"/>
        <v/>
      </c>
      <c r="G299" s="760" t="str">
        <f t="shared" si="168"/>
        <v/>
      </c>
      <c r="H299" s="413" t="str">
        <f t="shared" si="168"/>
        <v>数  量</v>
      </c>
      <c r="I299" s="414" t="str">
        <f t="shared" si="168"/>
        <v>単位</v>
      </c>
      <c r="J299" s="415" t="str">
        <f t="shared" si="168"/>
        <v>単     価</v>
      </c>
      <c r="K299" s="761" t="str">
        <f t="shared" si="168"/>
        <v>金        額</v>
      </c>
      <c r="L299" s="760" t="str">
        <f t="shared" si="168"/>
        <v/>
      </c>
      <c r="M299" s="398" t="str">
        <f>+IF(M242="","",M242)</f>
        <v/>
      </c>
      <c r="O299" s="394"/>
    </row>
    <row r="300" spans="2:15" s="398" customFormat="1" ht="15" customHeight="1" x14ac:dyDescent="0.15">
      <c r="B300" s="416" t="str">
        <f t="shared" si="160"/>
        <v/>
      </c>
      <c r="C300" s="417" t="str">
        <f>+IF(C243="","",C243)</f>
        <v>'地名・地番:</v>
      </c>
      <c r="D300" s="786" t="str">
        <f>+IF(D243="","",D243)</f>
        <v>東京都</v>
      </c>
      <c r="E300" s="787" t="str">
        <f t="shared" ref="E300:G300" si="169">+IF(E243="","",E243)</f>
        <v/>
      </c>
      <c r="F300" s="787" t="str">
        <f t="shared" si="169"/>
        <v/>
      </c>
      <c r="G300" s="787" t="str">
        <f t="shared" si="169"/>
        <v/>
      </c>
      <c r="H300" s="418" t="e">
        <f>+IF(H243="","",H243)</f>
        <v>#REF!</v>
      </c>
      <c r="I300" s="418"/>
      <c r="J300" s="419" t="str">
        <f t="shared" ref="J300:L300" si="170">+IF(J243="","",J243)</f>
        <v>一戸建ての住宅</v>
      </c>
      <c r="K300" s="420" t="str">
        <f t="shared" si="170"/>
        <v/>
      </c>
      <c r="L300" s="420" t="str">
        <f t="shared" si="170"/>
        <v/>
      </c>
      <c r="O300" s="394"/>
    </row>
    <row r="301" spans="2:15" s="398" customFormat="1" ht="15" customHeight="1" x14ac:dyDescent="0.15">
      <c r="B301" s="421" t="str">
        <f>+IF(B247="","",B247)</f>
        <v/>
      </c>
      <c r="C301" s="419" t="str">
        <f>+IF(C244="","",C244)</f>
        <v>構造・規模:</v>
      </c>
      <c r="D301" s="419" t="str">
        <f>+IF(D244="","",D244)</f>
        <v>木造</v>
      </c>
      <c r="E301" s="419" t="str">
        <f t="shared" ref="E301:G301" si="171">+IF(E244="","",E244)</f>
        <v>：地上</v>
      </c>
      <c r="F301" s="419">
        <f t="shared" si="171"/>
        <v>2</v>
      </c>
      <c r="G301" s="419" t="str">
        <f t="shared" si="171"/>
        <v>階、地下</v>
      </c>
      <c r="H301" s="419" t="str">
        <f>+IF(H244="","",H244)</f>
        <v>-</v>
      </c>
      <c r="I301" s="419" t="str">
        <f>+IF(I244="","",I244)</f>
        <v>階</v>
      </c>
      <c r="J301" s="419" t="str">
        <f>+IF(J244="","",J244)</f>
        <v>：延べ面積</v>
      </c>
      <c r="K301" s="419" t="str">
        <f>+IF(K244="","",K244)</f>
        <v>0-100㎡以内(3号)</v>
      </c>
      <c r="L301" s="422" t="str">
        <f>+IF(L244="","",L244)</f>
        <v/>
      </c>
      <c r="O301" s="394"/>
    </row>
    <row r="302" spans="2:15" s="398" customFormat="1" ht="15" customHeight="1" x14ac:dyDescent="0.15">
      <c r="B302" s="423" t="str">
        <f>+IF(B245="","",B245)</f>
        <v>■</v>
      </c>
      <c r="C302" s="423" t="str">
        <f>+IF(C245="","",C245)</f>
        <v>確認申請業務【非課税】</v>
      </c>
      <c r="D302" s="423" t="str">
        <f>+IF(D245="","",D245)</f>
        <v/>
      </c>
      <c r="E302" s="423" t="str">
        <f t="shared" ref="E302:G302" si="172">+IF(E245="","",E245)</f>
        <v/>
      </c>
      <c r="F302" s="423" t="str">
        <f t="shared" si="172"/>
        <v/>
      </c>
      <c r="G302" s="423" t="str">
        <f t="shared" si="172"/>
        <v/>
      </c>
      <c r="H302" s="423" t="str">
        <f>+IF(H245="","",H245)</f>
        <v/>
      </c>
      <c r="I302" s="423" t="str">
        <f>+IF(I245="","",I245)</f>
        <v/>
      </c>
      <c r="J302" s="424"/>
      <c r="K302" s="425"/>
      <c r="L302" s="422" t="str">
        <f>+IF(L245="","",L245)</f>
        <v/>
      </c>
    </row>
    <row r="303" spans="2:15" s="398" customFormat="1" ht="15" customHeight="1" x14ac:dyDescent="0.15">
      <c r="B303" s="423" t="str">
        <f>+IF(B246="","",B246)</f>
        <v>・</v>
      </c>
      <c r="C303" s="423" t="str">
        <f>+IF(C246="","",C246)</f>
        <v>確認申請(計画通知)基本手数料</v>
      </c>
      <c r="D303" s="426"/>
      <c r="E303" s="427"/>
      <c r="F303" s="427"/>
      <c r="G303" s="427"/>
      <c r="H303" s="428">
        <f>+IF(H246="","",H246)</f>
        <v>1</v>
      </c>
      <c r="I303" s="428" t="str">
        <f>+IF(I246="","",I246)</f>
        <v>式</v>
      </c>
      <c r="J303" s="424">
        <f>IFERROR(INDEX(確認申請料金表データ!C$422:Q$445,MATCH($K$16,確認申請料金表データ!B$422:B$445,0),MATCH($C303,確認申請料金表データ!C$3:Q$3,0)),"")</f>
        <v>31499.999999999996</v>
      </c>
      <c r="K303" s="425">
        <f>IFERROR(+J303*H303,"")</f>
        <v>31499.999999999996</v>
      </c>
      <c r="L303" s="422" t="str">
        <f>+IF(L246="","",L246)</f>
        <v>-</v>
      </c>
    </row>
    <row r="304" spans="2:15" s="398" customFormat="1" ht="15" customHeight="1" x14ac:dyDescent="0.15">
      <c r="B304" s="423" t="str">
        <f>+IF(B247="","",B247)</f>
        <v/>
      </c>
      <c r="C304" s="423" t="str">
        <f>+IF(C247="","",C247)</f>
        <v/>
      </c>
      <c r="D304" s="426"/>
      <c r="E304" s="423" t="str">
        <f>+IF(E247="","",E247)</f>
        <v/>
      </c>
      <c r="F304" s="427"/>
      <c r="G304" s="427"/>
      <c r="H304" s="428" t="str">
        <f>+IF(H247="","",H247)</f>
        <v/>
      </c>
      <c r="I304" s="428" t="str">
        <f>+IF(I247="","",I247)</f>
        <v/>
      </c>
      <c r="J304" s="424" t="str">
        <f>IFERROR(INDEX(確認申請料金表データ!C$422:Q$448,MATCH(E304,確認申請料金表データ!B$422:B$448,0),MATCH(C304,確認申請料金表データ!C$3:Q$3,0)),"")</f>
        <v/>
      </c>
      <c r="K304" s="425" t="str">
        <f>IFERROR(+J304*H304,"")</f>
        <v/>
      </c>
      <c r="L304" s="422" t="str">
        <f>+IF(L247="","",L247)</f>
        <v/>
      </c>
    </row>
    <row r="305" spans="2:15" s="398" customFormat="1" ht="15" customHeight="1" x14ac:dyDescent="0.15">
      <c r="B305" s="423" t="str">
        <f t="shared" ref="B305:C305" si="173">+IF(B248="","",B248)</f>
        <v/>
      </c>
      <c r="C305" s="423" t="str">
        <f t="shared" si="173"/>
        <v/>
      </c>
      <c r="D305" s="426"/>
      <c r="E305" s="423" t="str">
        <f t="shared" ref="E305:E313" si="174">+IF(E248="","",E248)</f>
        <v/>
      </c>
      <c r="F305" s="427"/>
      <c r="G305" s="427"/>
      <c r="H305" s="428" t="str">
        <f t="shared" ref="H305:I305" si="175">+IF(H248="","",H248)</f>
        <v/>
      </c>
      <c r="I305" s="428" t="str">
        <f t="shared" si="175"/>
        <v/>
      </c>
      <c r="J305" s="424" t="str">
        <f>IFERROR(INDEX(確認申請料金表データ!C$422:Q$448,MATCH(E305,確認申請料金表データ!B$422:B$448,0),MATCH(C305,確認申請料金表データ!C$3:Q$3,0)),"")</f>
        <v/>
      </c>
      <c r="K305" s="425" t="str">
        <f t="shared" ref="K305:K313" si="176">IFERROR(+J305*H305,"")</f>
        <v/>
      </c>
      <c r="L305" s="422" t="str">
        <f t="shared" ref="L305:L313" si="177">+IF(L248="","",L248)</f>
        <v/>
      </c>
      <c r="O305" s="429"/>
    </row>
    <row r="306" spans="2:15" s="398" customFormat="1" ht="15" customHeight="1" x14ac:dyDescent="0.15">
      <c r="B306" s="423" t="str">
        <f t="shared" ref="B306:C306" si="178">+IF(B249="","",B249)</f>
        <v/>
      </c>
      <c r="C306" s="423" t="str">
        <f t="shared" si="178"/>
        <v/>
      </c>
      <c r="D306" s="426"/>
      <c r="E306" s="423" t="str">
        <f t="shared" si="174"/>
        <v/>
      </c>
      <c r="F306" s="427"/>
      <c r="G306" s="427"/>
      <c r="H306" s="428" t="str">
        <f t="shared" ref="H306:I306" si="179">+IF(H249="","",H249)</f>
        <v/>
      </c>
      <c r="I306" s="428" t="str">
        <f t="shared" si="179"/>
        <v/>
      </c>
      <c r="J306" s="424" t="str">
        <f>IFERROR(INDEX(確認申請料金表データ!C$422:Q$448,MATCH(E306,確認申請料金表データ!B$422:B$448,0),MATCH(C306,確認申請料金表データ!C$3:Q$3,0)),"")</f>
        <v/>
      </c>
      <c r="K306" s="425" t="str">
        <f t="shared" si="176"/>
        <v/>
      </c>
      <c r="L306" s="422" t="str">
        <f t="shared" si="177"/>
        <v/>
      </c>
      <c r="O306" s="429"/>
    </row>
    <row r="307" spans="2:15" s="398" customFormat="1" ht="15" hidden="1" customHeight="1" x14ac:dyDescent="0.15">
      <c r="B307" s="423" t="str">
        <f t="shared" ref="B307:C307" si="180">+IF(B250="","",B250)</f>
        <v/>
      </c>
      <c r="C307" s="423" t="str">
        <f t="shared" si="180"/>
        <v/>
      </c>
      <c r="D307" s="426"/>
      <c r="E307" s="423" t="str">
        <f t="shared" si="174"/>
        <v/>
      </c>
      <c r="F307" s="427"/>
      <c r="G307" s="427"/>
      <c r="H307" s="428" t="str">
        <f t="shared" ref="H307:I307" si="181">+IF(H250="","",H250)</f>
        <v/>
      </c>
      <c r="I307" s="428" t="str">
        <f t="shared" si="181"/>
        <v/>
      </c>
      <c r="J307" s="424" t="str">
        <f>IFERROR(INDEX(確認申請料金表データ!C$422:Q$448,MATCH(E307,確認申請料金表データ!B$422:B$448,0),MATCH(C307,確認申請料金表データ!C$3:Q$3,0)),"")</f>
        <v/>
      </c>
      <c r="K307" s="425" t="str">
        <f t="shared" si="176"/>
        <v/>
      </c>
      <c r="L307" s="422" t="str">
        <f t="shared" si="177"/>
        <v/>
      </c>
      <c r="O307" s="429"/>
    </row>
    <row r="308" spans="2:15" s="398" customFormat="1" ht="15" hidden="1" customHeight="1" x14ac:dyDescent="0.15">
      <c r="B308" s="423" t="str">
        <f t="shared" ref="B308:C308" si="182">+IF(B251="","",B251)</f>
        <v/>
      </c>
      <c r="C308" s="423" t="str">
        <f t="shared" si="182"/>
        <v/>
      </c>
      <c r="D308" s="426"/>
      <c r="E308" s="423" t="str">
        <f t="shared" si="174"/>
        <v/>
      </c>
      <c r="F308" s="427"/>
      <c r="G308" s="427"/>
      <c r="H308" s="428" t="str">
        <f t="shared" ref="H308:I308" si="183">+IF(H251="","",H251)</f>
        <v/>
      </c>
      <c r="I308" s="428" t="str">
        <f t="shared" si="183"/>
        <v/>
      </c>
      <c r="J308" s="424" t="str">
        <f>IFERROR(INDEX(確認申請料金表データ!C$422:Q$448,MATCH(E308,確認申請料金表データ!B$422:B$448,0),MATCH(C308,確認申請料金表データ!C$3:Q$3,0)),"")</f>
        <v/>
      </c>
      <c r="K308" s="425" t="str">
        <f t="shared" si="176"/>
        <v/>
      </c>
      <c r="L308" s="422" t="str">
        <f t="shared" si="177"/>
        <v/>
      </c>
      <c r="O308" s="429"/>
    </row>
    <row r="309" spans="2:15" s="398" customFormat="1" ht="15" hidden="1" customHeight="1" x14ac:dyDescent="0.15">
      <c r="B309" s="423" t="str">
        <f t="shared" ref="B309:C309" si="184">+IF(B252="","",B252)</f>
        <v/>
      </c>
      <c r="C309" s="423" t="str">
        <f t="shared" si="184"/>
        <v/>
      </c>
      <c r="D309" s="426"/>
      <c r="E309" s="423" t="str">
        <f t="shared" si="174"/>
        <v/>
      </c>
      <c r="F309" s="427"/>
      <c r="G309" s="427"/>
      <c r="H309" s="428" t="str">
        <f t="shared" ref="H309:I309" si="185">+IF(H252="","",H252)</f>
        <v/>
      </c>
      <c r="I309" s="428" t="str">
        <f t="shared" si="185"/>
        <v/>
      </c>
      <c r="J309" s="424" t="str">
        <f>IFERROR(INDEX(確認申請料金表データ!C$422:Q$448,MATCH(E309,確認申請料金表データ!B$422:B$448,0),MATCH(C309,確認申請料金表データ!C$3:Q$3,0)),"")</f>
        <v/>
      </c>
      <c r="K309" s="425" t="str">
        <f t="shared" si="176"/>
        <v/>
      </c>
      <c r="L309" s="422" t="str">
        <f t="shared" si="177"/>
        <v/>
      </c>
      <c r="O309" s="429"/>
    </row>
    <row r="310" spans="2:15" s="398" customFormat="1" ht="15" hidden="1" customHeight="1" x14ac:dyDescent="0.15">
      <c r="B310" s="423" t="str">
        <f t="shared" ref="B310:C310" si="186">+IF(B253="","",B253)</f>
        <v/>
      </c>
      <c r="C310" s="423" t="str">
        <f t="shared" si="186"/>
        <v/>
      </c>
      <c r="D310" s="426"/>
      <c r="E310" s="423" t="str">
        <f t="shared" si="174"/>
        <v/>
      </c>
      <c r="F310" s="427"/>
      <c r="G310" s="427"/>
      <c r="H310" s="428" t="str">
        <f t="shared" ref="H310:I310" si="187">+IF(H253="","",H253)</f>
        <v/>
      </c>
      <c r="I310" s="428" t="str">
        <f t="shared" si="187"/>
        <v/>
      </c>
      <c r="J310" s="424" t="str">
        <f>IFERROR(INDEX(確認申請料金表データ!C$422:Q$448,MATCH(E310,確認申請料金表データ!B$422:B$448,0),MATCH(C310,確認申請料金表データ!C$3:Q$3,0)),"")</f>
        <v/>
      </c>
      <c r="K310" s="425" t="str">
        <f t="shared" si="176"/>
        <v/>
      </c>
      <c r="L310" s="422" t="str">
        <f t="shared" si="177"/>
        <v/>
      </c>
      <c r="O310" s="429"/>
    </row>
    <row r="311" spans="2:15" s="398" customFormat="1" ht="15" hidden="1" customHeight="1" x14ac:dyDescent="0.15">
      <c r="B311" s="423" t="str">
        <f t="shared" ref="B311:C311" si="188">+IF(B254="","",B254)</f>
        <v/>
      </c>
      <c r="C311" s="423" t="str">
        <f t="shared" si="188"/>
        <v/>
      </c>
      <c r="D311" s="426"/>
      <c r="E311" s="423" t="str">
        <f t="shared" si="174"/>
        <v/>
      </c>
      <c r="F311" s="427"/>
      <c r="G311" s="427"/>
      <c r="H311" s="428" t="str">
        <f t="shared" ref="H311:I311" si="189">+IF(H254="","",H254)</f>
        <v/>
      </c>
      <c r="I311" s="428" t="str">
        <f t="shared" si="189"/>
        <v/>
      </c>
      <c r="J311" s="424" t="str">
        <f>IFERROR(INDEX(確認申請料金表データ!C$422:Q$448,MATCH(E311,確認申請料金表データ!B$422:B$448,0),MATCH(C311,確認申請料金表データ!C$3:Q$3,0)),"")</f>
        <v/>
      </c>
      <c r="K311" s="425" t="str">
        <f t="shared" si="176"/>
        <v/>
      </c>
      <c r="L311" s="422" t="str">
        <f t="shared" si="177"/>
        <v/>
      </c>
      <c r="O311" s="429"/>
    </row>
    <row r="312" spans="2:15" s="398" customFormat="1" ht="15" hidden="1" customHeight="1" x14ac:dyDescent="0.15">
      <c r="B312" s="423" t="str">
        <f t="shared" ref="B312:C312" si="190">+IF(B255="","",B255)</f>
        <v/>
      </c>
      <c r="C312" s="423" t="str">
        <f t="shared" si="190"/>
        <v/>
      </c>
      <c r="D312" s="426"/>
      <c r="E312" s="423" t="str">
        <f t="shared" si="174"/>
        <v/>
      </c>
      <c r="F312" s="427"/>
      <c r="G312" s="427"/>
      <c r="H312" s="428" t="str">
        <f t="shared" ref="H312:I312" si="191">+IF(H255="","",H255)</f>
        <v/>
      </c>
      <c r="I312" s="428" t="str">
        <f t="shared" si="191"/>
        <v/>
      </c>
      <c r="J312" s="424" t="str">
        <f>IFERROR(INDEX(確認申請料金表データ!C$422:Q$448,MATCH(E312,確認申請料金表データ!B$422:B$448,0),MATCH(C312,確認申請料金表データ!C$3:Q$3,0)),"")</f>
        <v/>
      </c>
      <c r="K312" s="425" t="str">
        <f t="shared" si="176"/>
        <v/>
      </c>
      <c r="L312" s="422" t="str">
        <f t="shared" si="177"/>
        <v/>
      </c>
      <c r="O312" s="429"/>
    </row>
    <row r="313" spans="2:15" s="398" customFormat="1" ht="15" hidden="1" customHeight="1" x14ac:dyDescent="0.15">
      <c r="B313" s="423" t="str">
        <f t="shared" ref="B313:C313" si="192">+IF(B256="","",B256)</f>
        <v/>
      </c>
      <c r="C313" s="423" t="str">
        <f t="shared" si="192"/>
        <v/>
      </c>
      <c r="D313" s="426"/>
      <c r="E313" s="423" t="str">
        <f t="shared" si="174"/>
        <v/>
      </c>
      <c r="F313" s="427"/>
      <c r="G313" s="427"/>
      <c r="H313" s="428" t="str">
        <f t="shared" ref="H313:I313" si="193">+IF(H256="","",H256)</f>
        <v/>
      </c>
      <c r="I313" s="428" t="str">
        <f t="shared" si="193"/>
        <v/>
      </c>
      <c r="J313" s="424" t="str">
        <f>IFERROR(INDEX(確認申請料金表データ!C$422:Q$448,MATCH(E313,確認申請料金表データ!B$422:B$448,0),MATCH(C313,確認申請料金表データ!C$3:Q$3,0)),"")</f>
        <v/>
      </c>
      <c r="K313" s="425" t="str">
        <f t="shared" si="176"/>
        <v/>
      </c>
      <c r="L313" s="422" t="str">
        <f t="shared" si="177"/>
        <v/>
      </c>
      <c r="O313" s="429"/>
    </row>
    <row r="314" spans="2:15" s="398" customFormat="1" ht="15" customHeight="1" x14ac:dyDescent="0.15">
      <c r="B314" s="423" t="str">
        <f t="shared" ref="B314:C329" si="194">+IF(B257="","",B257)</f>
        <v/>
      </c>
      <c r="C314" s="423" t="str">
        <f t="shared" si="194"/>
        <v/>
      </c>
      <c r="D314" s="426"/>
      <c r="E314" s="426"/>
      <c r="F314" s="427"/>
      <c r="G314" s="427"/>
      <c r="H314" s="428" t="str">
        <f t="shared" ref="H314:I328" si="195">+IF(H257="","",H257)</f>
        <v/>
      </c>
      <c r="I314" s="428" t="str">
        <f t="shared" si="195"/>
        <v/>
      </c>
      <c r="J314" s="424" t="str">
        <f>IFERROR(INDEX(確認申請料金表データ!C$422:Q$445,MATCH($K$16,確認申請料金表データ!B$422:B$445,0),MATCH($C314,確認申請料金表データ!C$3:Q$3,0)),"")</f>
        <v/>
      </c>
      <c r="K314" s="425" t="str">
        <f>IFERROR(+J314*H314,"")</f>
        <v/>
      </c>
      <c r="L314" s="422" t="str">
        <f t="shared" ref="L314:L329" si="196">+IF(L257="","",L257)</f>
        <v/>
      </c>
    </row>
    <row r="315" spans="2:15" s="398" customFormat="1" ht="15" customHeight="1" x14ac:dyDescent="0.15">
      <c r="B315" s="423" t="str">
        <f t="shared" si="194"/>
        <v/>
      </c>
      <c r="C315" s="423" t="str">
        <f t="shared" si="194"/>
        <v/>
      </c>
      <c r="D315" s="426"/>
      <c r="E315" s="426"/>
      <c r="F315" s="426"/>
      <c r="G315" s="426"/>
      <c r="H315" s="423" t="str">
        <f t="shared" si="195"/>
        <v/>
      </c>
      <c r="I315" s="423" t="str">
        <f t="shared" si="195"/>
        <v/>
      </c>
      <c r="J315" s="423" t="str">
        <f>+IF(J258="","",J258)</f>
        <v/>
      </c>
      <c r="K315" s="423" t="str">
        <f>+IF(K258="","",K258)</f>
        <v/>
      </c>
      <c r="L315" s="422" t="str">
        <f t="shared" si="196"/>
        <v/>
      </c>
      <c r="M315" s="423" t="str">
        <f>+IF(M258="","",M258)</f>
        <v/>
      </c>
    </row>
    <row r="316" spans="2:15" s="398" customFormat="1" ht="15" customHeight="1" x14ac:dyDescent="0.15">
      <c r="B316" s="423" t="str">
        <f t="shared" si="194"/>
        <v/>
      </c>
      <c r="C316" s="423" t="str">
        <f t="shared" si="194"/>
        <v/>
      </c>
      <c r="D316" s="426"/>
      <c r="E316" s="426"/>
      <c r="F316" s="426"/>
      <c r="G316" s="426"/>
      <c r="H316" s="423" t="str">
        <f t="shared" si="195"/>
        <v/>
      </c>
      <c r="I316" s="423" t="str">
        <f t="shared" si="195"/>
        <v/>
      </c>
      <c r="J316" s="423" t="str">
        <f>+IF(J259="","",J259)</f>
        <v/>
      </c>
      <c r="K316" s="423" t="str">
        <f>+IF(K259="","",K259)</f>
        <v/>
      </c>
      <c r="L316" s="422" t="str">
        <f t="shared" si="196"/>
        <v/>
      </c>
      <c r="M316" s="423" t="str">
        <f>+IF(M259="","",M259)</f>
        <v/>
      </c>
    </row>
    <row r="317" spans="2:15" s="398" customFormat="1" ht="15" customHeight="1" x14ac:dyDescent="0.15">
      <c r="B317" s="423" t="str">
        <f t="shared" si="194"/>
        <v>□</v>
      </c>
      <c r="C317" s="423" t="str">
        <f t="shared" si="194"/>
        <v>加算手数料</v>
      </c>
      <c r="D317" s="426"/>
      <c r="E317" s="426"/>
      <c r="F317" s="426"/>
      <c r="G317" s="426"/>
      <c r="H317" s="428" t="str">
        <f t="shared" si="195"/>
        <v/>
      </c>
      <c r="I317" s="428" t="str">
        <f t="shared" si="195"/>
        <v/>
      </c>
      <c r="J317" s="424"/>
      <c r="K317" s="425"/>
      <c r="L317" s="422" t="str">
        <f t="shared" si="196"/>
        <v/>
      </c>
    </row>
    <row r="318" spans="2:15" s="398" customFormat="1" ht="15" customHeight="1" x14ac:dyDescent="0.15">
      <c r="B318" s="423" t="str">
        <f t="shared" si="194"/>
        <v/>
      </c>
      <c r="C318" s="423" t="str">
        <f t="shared" si="194"/>
        <v/>
      </c>
      <c r="D318" s="426"/>
      <c r="E318" s="426"/>
      <c r="F318" s="426"/>
      <c r="G318" s="426"/>
      <c r="H318" s="428" t="str">
        <f t="shared" si="195"/>
        <v/>
      </c>
      <c r="I318" s="428" t="str">
        <f t="shared" si="195"/>
        <v/>
      </c>
      <c r="J318" s="424" t="str">
        <f>IFERROR(INDEX(確認申請料金表データ!X$422:AN$445,MATCH($K$16,確認申請料金表データ!B$422:B$445,0),MATCH($C318,確認申請料金表データ!X$3:AN$3,0)),"")</f>
        <v/>
      </c>
      <c r="K318" s="425" t="str">
        <f>IFERROR(+J318*H318,"")</f>
        <v/>
      </c>
      <c r="L318" s="422" t="str">
        <f t="shared" si="196"/>
        <v/>
      </c>
    </row>
    <row r="319" spans="2:15" s="398" customFormat="1" ht="15" customHeight="1" x14ac:dyDescent="0.15">
      <c r="B319" s="423" t="str">
        <f t="shared" si="194"/>
        <v/>
      </c>
      <c r="C319" s="423" t="str">
        <f t="shared" si="194"/>
        <v/>
      </c>
      <c r="D319" s="426"/>
      <c r="E319" s="426"/>
      <c r="F319" s="426"/>
      <c r="G319" s="426"/>
      <c r="H319" s="428" t="str">
        <f t="shared" si="195"/>
        <v/>
      </c>
      <c r="I319" s="428" t="str">
        <f t="shared" si="195"/>
        <v/>
      </c>
      <c r="J319" s="424" t="str">
        <f>IFERROR(INDEX(確認申請料金表データ!X$422:AN$445,MATCH($K$16,確認申請料金表データ!B$422:B$445,0),MATCH($C319,確認申請料金表データ!X$3:AN$3,0)),"")</f>
        <v/>
      </c>
      <c r="K319" s="425" t="str">
        <f t="shared" ref="K319:K322" si="197">IFERROR(+J319*H319,"")</f>
        <v/>
      </c>
      <c r="L319" s="422" t="str">
        <f t="shared" si="196"/>
        <v/>
      </c>
      <c r="O319" s="430"/>
    </row>
    <row r="320" spans="2:15" s="398" customFormat="1" ht="15" customHeight="1" x14ac:dyDescent="0.15">
      <c r="B320" s="423" t="str">
        <f t="shared" si="194"/>
        <v/>
      </c>
      <c r="C320" s="423" t="str">
        <f t="shared" si="194"/>
        <v/>
      </c>
      <c r="D320" s="426"/>
      <c r="E320" s="426"/>
      <c r="F320" s="426"/>
      <c r="G320" s="426"/>
      <c r="H320" s="428" t="str">
        <f t="shared" si="195"/>
        <v/>
      </c>
      <c r="I320" s="428" t="str">
        <f t="shared" si="195"/>
        <v/>
      </c>
      <c r="J320" s="424" t="str">
        <f>IFERROR(INDEX(確認申請料金表データ!X$422:AN$445,MATCH($K$16,確認申請料金表データ!B$422:B$445,0),MATCH($C320,確認申請料金表データ!X$3:AN$3,0)),"")</f>
        <v/>
      </c>
      <c r="K320" s="425" t="str">
        <f t="shared" si="197"/>
        <v/>
      </c>
      <c r="L320" s="422" t="str">
        <f t="shared" si="196"/>
        <v/>
      </c>
    </row>
    <row r="321" spans="2:15" s="398" customFormat="1" ht="15" customHeight="1" x14ac:dyDescent="0.15">
      <c r="B321" s="423" t="str">
        <f t="shared" si="194"/>
        <v/>
      </c>
      <c r="C321" s="423" t="str">
        <f t="shared" si="194"/>
        <v/>
      </c>
      <c r="D321" s="426"/>
      <c r="E321" s="426"/>
      <c r="F321" s="426"/>
      <c r="G321" s="426"/>
      <c r="H321" s="428" t="str">
        <f t="shared" si="195"/>
        <v/>
      </c>
      <c r="I321" s="428" t="str">
        <f t="shared" si="195"/>
        <v/>
      </c>
      <c r="J321" s="424" t="str">
        <f>IFERROR(INDEX(確認申請料金表データ!X$422:AN$445,MATCH($K$16,確認申請料金表データ!B$422:B$445,0),MATCH($C321,確認申請料金表データ!X$3:AN$3,0)),"")</f>
        <v/>
      </c>
      <c r="K321" s="425" t="str">
        <f t="shared" si="197"/>
        <v/>
      </c>
      <c r="L321" s="422" t="str">
        <f t="shared" si="196"/>
        <v/>
      </c>
    </row>
    <row r="322" spans="2:15" s="398" customFormat="1" ht="15" customHeight="1" x14ac:dyDescent="0.15">
      <c r="B322" s="423" t="str">
        <f t="shared" si="194"/>
        <v/>
      </c>
      <c r="C322" s="423" t="str">
        <f t="shared" si="194"/>
        <v/>
      </c>
      <c r="D322" s="426"/>
      <c r="E322" s="426"/>
      <c r="F322" s="426"/>
      <c r="G322" s="426"/>
      <c r="H322" s="428" t="str">
        <f t="shared" si="195"/>
        <v/>
      </c>
      <c r="I322" s="428" t="str">
        <f t="shared" si="195"/>
        <v/>
      </c>
      <c r="J322" s="424" t="str">
        <f>IFERROR(INDEX(確認申請料金表データ!X$422:AN$445,MATCH($K$16,確認申請料金表データ!B$422:B$445,0),MATCH($C322,確認申請料金表データ!X$3:AN$3,0)),"")</f>
        <v/>
      </c>
      <c r="K322" s="425" t="str">
        <f t="shared" si="197"/>
        <v/>
      </c>
      <c r="L322" s="422" t="str">
        <f t="shared" si="196"/>
        <v/>
      </c>
    </row>
    <row r="323" spans="2:15" s="398" customFormat="1" ht="15" customHeight="1" x14ac:dyDescent="0.15">
      <c r="B323" s="423" t="str">
        <f t="shared" si="194"/>
        <v/>
      </c>
      <c r="C323" s="423" t="str">
        <f t="shared" si="194"/>
        <v/>
      </c>
      <c r="D323" s="423"/>
      <c r="E323" s="423"/>
      <c r="F323" s="423"/>
      <c r="G323" s="423"/>
      <c r="H323" s="428" t="str">
        <f t="shared" si="195"/>
        <v/>
      </c>
      <c r="I323" s="428" t="str">
        <f t="shared" si="195"/>
        <v/>
      </c>
      <c r="J323" s="424" t="str">
        <f>IFERROR(INDEX(確認申請料金表データ!X$422:AN$445,MATCH($K$16,確認申請料金表データ!B$422:B$445,0),MATCH($C323,確認申請料金表データ!X$3:AN$3,0)),"")</f>
        <v/>
      </c>
      <c r="K323" s="425" t="str">
        <f>IFERROR(+J323*H323,"")</f>
        <v/>
      </c>
      <c r="L323" s="422" t="str">
        <f t="shared" si="196"/>
        <v/>
      </c>
    </row>
    <row r="324" spans="2:15" s="398" customFormat="1" ht="15" customHeight="1" x14ac:dyDescent="0.15">
      <c r="B324" s="423" t="str">
        <f t="shared" si="194"/>
        <v/>
      </c>
      <c r="C324" s="423" t="str">
        <f t="shared" si="194"/>
        <v/>
      </c>
      <c r="D324" s="423"/>
      <c r="E324" s="423"/>
      <c r="F324" s="423"/>
      <c r="G324" s="423"/>
      <c r="H324" s="428" t="str">
        <f t="shared" si="195"/>
        <v/>
      </c>
      <c r="I324" s="428" t="str">
        <f t="shared" si="195"/>
        <v/>
      </c>
      <c r="J324" s="424" t="str">
        <f>IFERROR(INDEX(確認申請料金表データ!X$422:AN$445,MATCH($K$16,確認申請料金表データ!B$422:B$445,0),MATCH($C324,確認申請料金表データ!X$3:AN$3,0)),"")</f>
        <v/>
      </c>
      <c r="K324" s="425" t="str">
        <f>IFERROR(+J324*H324,"")</f>
        <v/>
      </c>
      <c r="L324" s="422" t="str">
        <f t="shared" si="196"/>
        <v/>
      </c>
    </row>
    <row r="325" spans="2:15" s="398" customFormat="1" ht="15" customHeight="1" x14ac:dyDescent="0.15">
      <c r="B325" s="423" t="str">
        <f t="shared" si="194"/>
        <v/>
      </c>
      <c r="C325" s="423" t="str">
        <f t="shared" si="194"/>
        <v/>
      </c>
      <c r="D325" s="423"/>
      <c r="E325" s="423"/>
      <c r="F325" s="423"/>
      <c r="G325" s="423"/>
      <c r="H325" s="428" t="str">
        <f t="shared" si="195"/>
        <v/>
      </c>
      <c r="I325" s="428" t="str">
        <f t="shared" si="195"/>
        <v/>
      </c>
      <c r="J325" s="424" t="str">
        <f>IFERROR(INDEX(確認申請料金表データ!X$422:AN$445,MATCH($K$16,確認申請料金表データ!B$422:B$445,0),MATCH($C325,確認申請料金表データ!X$3:AN$3,0)),"")</f>
        <v/>
      </c>
      <c r="K325" s="425" t="str">
        <f t="shared" ref="K325" si="198">IFERROR(+J325*H325,"")</f>
        <v/>
      </c>
      <c r="L325" s="422" t="str">
        <f t="shared" si="196"/>
        <v/>
      </c>
    </row>
    <row r="326" spans="2:15" s="398" customFormat="1" ht="15" customHeight="1" x14ac:dyDescent="0.15">
      <c r="B326" s="423" t="str">
        <f t="shared" si="194"/>
        <v/>
      </c>
      <c r="C326" s="423" t="str">
        <f t="shared" si="194"/>
        <v/>
      </c>
      <c r="D326" s="423" t="str">
        <f>+IF(D269="","",D269)</f>
        <v/>
      </c>
      <c r="E326" s="423" t="str">
        <f>+IF(E269="","",E269)</f>
        <v/>
      </c>
      <c r="F326" s="423" t="str">
        <f>+IF(F269="","",F269)</f>
        <v/>
      </c>
      <c r="G326" s="423" t="str">
        <f>+IF(G269="","",G269)</f>
        <v/>
      </c>
      <c r="H326" s="423" t="str">
        <f t="shared" si="195"/>
        <v/>
      </c>
      <c r="I326" s="423" t="str">
        <f t="shared" si="195"/>
        <v/>
      </c>
      <c r="J326" s="423" t="str">
        <f>+IF(J269="","",J269)</f>
        <v/>
      </c>
      <c r="K326" s="423" t="str">
        <f>+IF(K269="","",K269)</f>
        <v/>
      </c>
      <c r="L326" s="422" t="str">
        <f t="shared" si="196"/>
        <v/>
      </c>
      <c r="O326" s="429"/>
    </row>
    <row r="327" spans="2:15" s="398" customFormat="1" ht="15" customHeight="1" x14ac:dyDescent="0.15">
      <c r="B327" s="423" t="str">
        <f t="shared" si="194"/>
        <v>□</v>
      </c>
      <c r="C327" s="423" t="str">
        <f t="shared" si="194"/>
        <v>省エネ基準省令に基づく基準による審査(仕様基準)</v>
      </c>
      <c r="D327" s="426"/>
      <c r="E327" s="426"/>
      <c r="F327" s="426"/>
      <c r="G327" s="426"/>
      <c r="H327" s="428" t="str">
        <f t="shared" si="195"/>
        <v/>
      </c>
      <c r="I327" s="428" t="str">
        <f t="shared" si="195"/>
        <v/>
      </c>
      <c r="J327" s="424"/>
      <c r="K327" s="425"/>
      <c r="L327" s="422" t="str">
        <f t="shared" si="196"/>
        <v/>
      </c>
    </row>
    <row r="328" spans="2:15" s="398" customFormat="1" ht="15" customHeight="1" x14ac:dyDescent="0.15">
      <c r="B328" s="423" t="str">
        <f t="shared" si="194"/>
        <v/>
      </c>
      <c r="C328" s="423" t="str">
        <f t="shared" si="194"/>
        <v/>
      </c>
      <c r="D328" s="426"/>
      <c r="E328" s="426"/>
      <c r="F328" s="426"/>
      <c r="G328" s="426"/>
      <c r="H328" s="428" t="str">
        <f t="shared" si="195"/>
        <v/>
      </c>
      <c r="I328" s="428" t="str">
        <f t="shared" si="195"/>
        <v/>
      </c>
      <c r="J328" s="424" t="str">
        <f>IFERROR(INDEX(確認申請料金表データ!S$422:V$445,MATCH($K$16,確認申請料金表データ!B$422:B$445,0),MATCH($C328,確認申請料金表データ!S$3:V$3,0)),"")</f>
        <v/>
      </c>
      <c r="K328" s="425" t="str">
        <f t="shared" ref="K328:K329" si="199">IFERROR(+J328*H328,"")</f>
        <v/>
      </c>
      <c r="L328" s="422" t="str">
        <f t="shared" si="196"/>
        <v/>
      </c>
    </row>
    <row r="329" spans="2:15" s="398" customFormat="1" ht="15" customHeight="1" x14ac:dyDescent="0.15">
      <c r="B329" s="423" t="str">
        <f t="shared" si="194"/>
        <v/>
      </c>
      <c r="C329" s="423" t="str">
        <f t="shared" si="194"/>
        <v/>
      </c>
      <c r="D329" s="426"/>
      <c r="E329" s="426"/>
      <c r="F329" s="426"/>
      <c r="G329" s="426"/>
      <c r="H329" s="428" t="str">
        <f t="shared" ref="H329:I329" si="200">+IF(H272="","",H272)</f>
        <v/>
      </c>
      <c r="I329" s="428" t="str">
        <f t="shared" si="200"/>
        <v/>
      </c>
      <c r="J329" s="424" t="str">
        <f>IFERROR(INDEX(確認申請料金表データ!S$422:V$445,MATCH($K$16,確認申請料金表データ!B$422:B$445,0),MATCH($C329,確認申請料金表データ!S$3:V$3,0)),"")</f>
        <v/>
      </c>
      <c r="K329" s="425" t="str">
        <f t="shared" si="199"/>
        <v/>
      </c>
      <c r="L329" s="422" t="str">
        <f t="shared" si="196"/>
        <v/>
      </c>
    </row>
    <row r="330" spans="2:15" s="398" customFormat="1" ht="15" customHeight="1" x14ac:dyDescent="0.15">
      <c r="B330" s="423" t="str">
        <f t="shared" ref="B330:C331" si="201">+IF(B273="","",B273)</f>
        <v/>
      </c>
      <c r="C330" s="423" t="str">
        <f t="shared" si="201"/>
        <v/>
      </c>
      <c r="D330" s="426"/>
      <c r="E330" s="426"/>
      <c r="F330" s="426"/>
      <c r="G330" s="426"/>
      <c r="H330" s="422" t="str">
        <f t="shared" ref="H330:L331" si="202">+IF(H273="","",H273)</f>
        <v/>
      </c>
      <c r="I330" s="422" t="str">
        <f t="shared" si="202"/>
        <v/>
      </c>
      <c r="J330" s="422" t="str">
        <f t="shared" si="202"/>
        <v/>
      </c>
      <c r="K330" s="422" t="str">
        <f t="shared" si="202"/>
        <v/>
      </c>
      <c r="L330" s="422" t="str">
        <f t="shared" si="202"/>
        <v/>
      </c>
    </row>
    <row r="331" spans="2:15" s="398" customFormat="1" ht="15" customHeight="1" x14ac:dyDescent="0.15">
      <c r="B331" s="423" t="str">
        <f t="shared" si="201"/>
        <v/>
      </c>
      <c r="C331" s="423" t="str">
        <f t="shared" si="201"/>
        <v/>
      </c>
      <c r="D331" s="431"/>
      <c r="E331" s="431"/>
      <c r="F331" s="431"/>
      <c r="G331" s="431"/>
      <c r="H331" s="432" t="s">
        <v>21</v>
      </c>
      <c r="I331" s="433"/>
      <c r="J331" s="433"/>
      <c r="K331" s="434">
        <f>SUM(K303:K329)</f>
        <v>31499.999999999996</v>
      </c>
      <c r="L331" s="422" t="str">
        <f t="shared" si="202"/>
        <v>-</v>
      </c>
    </row>
    <row r="332" spans="2:15" s="398" customFormat="1" ht="15" customHeight="1" x14ac:dyDescent="0.15">
      <c r="B332" s="435" t="str">
        <f t="shared" ref="B332:N332" si="203">+IF(B275="","",B275)</f>
        <v>□</v>
      </c>
      <c r="C332" s="436" t="str">
        <f t="shared" si="203"/>
        <v>出張費及び交通費（当機関規定による）【課税対象、消費税込み】</v>
      </c>
      <c r="D332" s="437" t="str">
        <f t="shared" si="203"/>
        <v/>
      </c>
      <c r="E332" s="437" t="str">
        <f t="shared" si="203"/>
        <v/>
      </c>
      <c r="F332" s="437" t="str">
        <f t="shared" si="203"/>
        <v/>
      </c>
      <c r="G332" s="437" t="str">
        <f t="shared" si="203"/>
        <v/>
      </c>
      <c r="H332" s="438" t="str">
        <f t="shared" si="203"/>
        <v/>
      </c>
      <c r="I332" s="435" t="str">
        <f t="shared" si="203"/>
        <v/>
      </c>
      <c r="J332" s="439" t="str">
        <f t="shared" si="203"/>
        <v/>
      </c>
      <c r="K332" s="439" t="str">
        <f t="shared" si="203"/>
        <v/>
      </c>
      <c r="L332" s="435" t="str">
        <f t="shared" si="203"/>
        <v/>
      </c>
      <c r="M332" s="398" t="str">
        <f t="shared" si="203"/>
        <v/>
      </c>
      <c r="N332" s="398" t="str">
        <f t="shared" si="203"/>
        <v/>
      </c>
    </row>
    <row r="333" spans="2:15" s="398" customFormat="1" ht="15" customHeight="1" x14ac:dyDescent="0.15">
      <c r="B333" s="440" t="str">
        <f t="shared" ref="B333:M333" si="204">+IF(B276="","",B276)</f>
        <v/>
      </c>
      <c r="C333" s="440" t="str">
        <f t="shared" si="204"/>
        <v>出張交通費</v>
      </c>
      <c r="D333" s="441" t="str">
        <f t="shared" si="204"/>
        <v>東京都</v>
      </c>
      <c r="E333" s="426" t="str">
        <f t="shared" si="204"/>
        <v/>
      </c>
      <c r="F333" s="426" t="str">
        <f t="shared" si="204"/>
        <v/>
      </c>
      <c r="G333" s="442" t="str">
        <f t="shared" si="204"/>
        <v/>
      </c>
      <c r="H333" s="443">
        <f t="shared" si="204"/>
        <v>1</v>
      </c>
      <c r="I333" s="428" t="str">
        <f t="shared" si="204"/>
        <v>回</v>
      </c>
      <c r="J333" s="444">
        <f t="shared" si="204"/>
        <v>2200</v>
      </c>
      <c r="K333" s="425">
        <f t="shared" si="204"/>
        <v>2200</v>
      </c>
      <c r="L333" s="445" t="str">
        <f t="shared" si="204"/>
        <v>-</v>
      </c>
      <c r="M333" s="398" t="str">
        <f t="shared" si="204"/>
        <v/>
      </c>
      <c r="O333" s="429"/>
    </row>
    <row r="334" spans="2:15" s="398" customFormat="1" ht="15" customHeight="1" x14ac:dyDescent="0.15">
      <c r="B334" s="446" t="str">
        <f t="shared" ref="B334:H334" si="205">+IF(B277="","",B277)</f>
        <v/>
      </c>
      <c r="C334" s="447" t="str">
        <f t="shared" si="205"/>
        <v/>
      </c>
      <c r="D334" s="447" t="str">
        <f t="shared" si="205"/>
        <v/>
      </c>
      <c r="E334" s="447" t="str">
        <f t="shared" si="205"/>
        <v/>
      </c>
      <c r="F334" s="447" t="str">
        <f t="shared" si="205"/>
        <v/>
      </c>
      <c r="G334" s="447" t="str">
        <f t="shared" si="205"/>
        <v/>
      </c>
      <c r="H334" s="448" t="str">
        <f t="shared" si="205"/>
        <v>合     計</v>
      </c>
      <c r="I334" s="448"/>
      <c r="J334" s="449"/>
      <c r="K334" s="450">
        <f t="shared" ref="K334:N334" si="206">+IF(K277="","",K277)</f>
        <v>2200</v>
      </c>
      <c r="L334" s="446" t="str">
        <f t="shared" si="206"/>
        <v>-</v>
      </c>
      <c r="M334" s="398" t="str">
        <f t="shared" si="206"/>
        <v/>
      </c>
      <c r="N334" s="398" t="str">
        <f t="shared" si="206"/>
        <v/>
      </c>
    </row>
    <row r="335" spans="2:15" s="398" customFormat="1" ht="15" customHeight="1" thickBot="1" x14ac:dyDescent="0.2">
      <c r="C335" s="398" t="s">
        <v>91</v>
      </c>
      <c r="H335" s="451" t="s">
        <v>2</v>
      </c>
      <c r="I335" s="451"/>
      <c r="J335" s="451"/>
      <c r="K335" s="452">
        <f>K331+K334</f>
        <v>33700</v>
      </c>
      <c r="L335" s="453" t="s">
        <v>1</v>
      </c>
    </row>
    <row r="336" spans="2:15" s="398" customFormat="1" ht="15" customHeight="1" thickTop="1" x14ac:dyDescent="0.15">
      <c r="B336" s="409"/>
      <c r="C336" s="412" t="s">
        <v>19</v>
      </c>
      <c r="I336" s="454"/>
      <c r="J336" s="454"/>
      <c r="K336" s="455"/>
      <c r="L336" s="412"/>
    </row>
    <row r="337" spans="3:15" s="398" customFormat="1" ht="15" customHeight="1" x14ac:dyDescent="0.15">
      <c r="C337" s="412" t="s">
        <v>22</v>
      </c>
    </row>
    <row r="338" spans="3:15" s="398" customFormat="1" ht="15" customHeight="1" x14ac:dyDescent="0.15">
      <c r="C338" s="412" t="s">
        <v>16</v>
      </c>
    </row>
    <row r="339" spans="3:15" s="398" customFormat="1" ht="15" customHeight="1" x14ac:dyDescent="0.15">
      <c r="C339" s="412" t="s">
        <v>20</v>
      </c>
    </row>
    <row r="340" spans="3:15" s="398" customFormat="1" ht="15" customHeight="1" x14ac:dyDescent="0.15">
      <c r="C340" s="412" t="s">
        <v>18</v>
      </c>
    </row>
    <row r="341" spans="3:15" s="392" customFormat="1" ht="15" customHeight="1" x14ac:dyDescent="0.15">
      <c r="C341" s="398"/>
      <c r="K341" s="456"/>
      <c r="O341" s="398"/>
    </row>
    <row r="342" spans="3:15" s="392" customFormat="1" ht="16.5" customHeight="1" x14ac:dyDescent="0.15">
      <c r="L342" s="456" t="s">
        <v>32</v>
      </c>
    </row>
  </sheetData>
  <mergeCells count="69">
    <mergeCell ref="C30:G30"/>
    <mergeCell ref="C29:G29"/>
    <mergeCell ref="J287:K287"/>
    <mergeCell ref="C289:D289"/>
    <mergeCell ref="D296:K296"/>
    <mergeCell ref="B242:G242"/>
    <mergeCell ref="K242:L242"/>
    <mergeCell ref="D243:G243"/>
    <mergeCell ref="D186:G186"/>
    <mergeCell ref="J230:K230"/>
    <mergeCell ref="C232:D232"/>
    <mergeCell ref="D239:K239"/>
    <mergeCell ref="G241:K241"/>
    <mergeCell ref="G298:K298"/>
    <mergeCell ref="C33:G33"/>
    <mergeCell ref="C34:G34"/>
    <mergeCell ref="C38:G38"/>
    <mergeCell ref="C40:G40"/>
    <mergeCell ref="G127:K127"/>
    <mergeCell ref="C43:G43"/>
    <mergeCell ref="B128:G128"/>
    <mergeCell ref="K128:L128"/>
    <mergeCell ref="D129:G129"/>
    <mergeCell ref="J173:K173"/>
    <mergeCell ref="C175:D175"/>
    <mergeCell ref="D182:K182"/>
    <mergeCell ref="G184:K184"/>
    <mergeCell ref="B185:G185"/>
    <mergeCell ref="K185:L185"/>
    <mergeCell ref="B299:G299"/>
    <mergeCell ref="K299:L299"/>
    <mergeCell ref="D300:G300"/>
    <mergeCell ref="D72:G72"/>
    <mergeCell ref="C44:G44"/>
    <mergeCell ref="D68:K68"/>
    <mergeCell ref="G70:K70"/>
    <mergeCell ref="B71:G71"/>
    <mergeCell ref="K71:L71"/>
    <mergeCell ref="H50:J50"/>
    <mergeCell ref="D48:G48"/>
    <mergeCell ref="J59:K59"/>
    <mergeCell ref="C61:D61"/>
    <mergeCell ref="J116:K116"/>
    <mergeCell ref="C118:D118"/>
    <mergeCell ref="D125:K125"/>
    <mergeCell ref="B14:G14"/>
    <mergeCell ref="J2:K2"/>
    <mergeCell ref="K14:L14"/>
    <mergeCell ref="C39:G39"/>
    <mergeCell ref="C35:G35"/>
    <mergeCell ref="C36:G36"/>
    <mergeCell ref="C37:G37"/>
    <mergeCell ref="K16:L16"/>
    <mergeCell ref="D15:G15"/>
    <mergeCell ref="D11:K11"/>
    <mergeCell ref="G13:K13"/>
    <mergeCell ref="E19:G19"/>
    <mergeCell ref="C4:F4"/>
    <mergeCell ref="H15:J15"/>
    <mergeCell ref="E20:G20"/>
    <mergeCell ref="E24:G24"/>
    <mergeCell ref="C18:D18"/>
    <mergeCell ref="E28:G28"/>
    <mergeCell ref="E27:G27"/>
    <mergeCell ref="E22:G22"/>
    <mergeCell ref="E21:G21"/>
    <mergeCell ref="E23:G23"/>
    <mergeCell ref="E25:G25"/>
    <mergeCell ref="E26:G26"/>
  </mergeCells>
  <phoneticPr fontId="4"/>
  <printOptions horizontalCentered="1" verticalCentered="1"/>
  <pageMargins left="0.39370078740157483" right="0.39370078740157483" top="0.39370078740157483" bottom="0" header="0" footer="0"/>
  <pageSetup paperSize="9" fitToWidth="0" orientation="portrait" blackAndWhite="1" r:id="rId1"/>
  <headerFooter alignWithMargins="0"/>
  <extLst>
    <ext xmlns:x14="http://schemas.microsoft.com/office/spreadsheetml/2009/9/main" uri="{CCE6A557-97BC-4b89-ADB6-D9C93CAAB3DF}">
      <x14:dataValidations xmlns:xm="http://schemas.microsoft.com/office/excel/2006/main" count="6">
        <x14:dataValidation type="list" showInputMessage="1" showErrorMessage="1" xr:uid="{CF450378-4566-4286-9BDA-E88D6C2C8B41}">
          <x14:formula1>
            <xm:f>確認申請料金表データ!$R$3:$T$3</xm:f>
          </x14:formula1>
          <xm:sqref>C43:G43</xm:sqref>
        </x14:dataValidation>
        <x14:dataValidation type="list" allowBlank="1" showInputMessage="1" showErrorMessage="1" xr:uid="{F15BC50C-2BD7-4491-9196-92C476B15DEC}">
          <x14:formula1>
            <xm:f>確認申請料金表データ!$B$3:$B$33</xm:f>
          </x14:formula1>
          <xm:sqref>E19:G28</xm:sqref>
        </x14:dataValidation>
        <x14:dataValidation type="list" showInputMessage="1" showErrorMessage="1" xr:uid="{0CF58C21-CD3C-40F6-8AD1-578F89643117}">
          <x14:formula1>
            <xm:f>確認申請料金表データ!$B$3:$J$3</xm:f>
          </x14:formula1>
          <xm:sqref>C18</xm:sqref>
        </x14:dataValidation>
        <x14:dataValidation type="list" allowBlank="1" showInputMessage="1" showErrorMessage="1" xr:uid="{86DE661F-A6FA-47F9-BE5B-0D3F18D85437}">
          <x14:formula1>
            <xm:f>確認申請料金表データ!$B$3:$I$3</xm:f>
          </x14:formula1>
          <xm:sqref>C19:C28</xm:sqref>
        </x14:dataValidation>
        <x14:dataValidation type="list" allowBlank="1" showInputMessage="1" showErrorMessage="1" xr:uid="{E60B69C8-1E05-47BC-AD71-DA4A46B64E4C}">
          <x14:formula1>
            <xm:f>確認申請料金表データ!$K$3:$P$3</xm:f>
          </x14:formula1>
          <xm:sqref>C29:G29</xm:sqref>
        </x14:dataValidation>
        <x14:dataValidation type="list" showInputMessage="1" showErrorMessage="1" xr:uid="{CFA20DE7-64DA-4941-B01F-F60FB0640DFA}">
          <x14:formula1>
            <xm:f>確認申請料金表データ!$W$3:$AN$3</xm:f>
          </x14:formula1>
          <xm:sqref>C33:G36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8FD99-1933-4BD2-9F8C-7144C8EC9564}">
  <sheetPr>
    <tabColor rgb="FFFFFF00"/>
  </sheetPr>
  <dimension ref="B1:X50"/>
  <sheetViews>
    <sheetView view="pageBreakPreview" topLeftCell="A12" zoomScaleNormal="100" zoomScaleSheetLayoutView="100" workbookViewId="0">
      <selection activeCell="C18" sqref="C18:D18"/>
    </sheetView>
  </sheetViews>
  <sheetFormatPr defaultColWidth="3.625" defaultRowHeight="16.5" customHeight="1" x14ac:dyDescent="0.15"/>
  <cols>
    <col min="1" max="1" width="0.625" style="1" customWidth="1"/>
    <col min="2" max="2" width="2.75" style="1" customWidth="1"/>
    <col min="3" max="3" width="19.625" style="1" customWidth="1"/>
    <col min="4" max="4" width="17.625" style="1" customWidth="1"/>
    <col min="5" max="5" width="5.25" style="1" customWidth="1"/>
    <col min="6" max="6" width="4.75" style="1" customWidth="1"/>
    <col min="7" max="7" width="7.25" style="1" customWidth="1"/>
    <col min="8" max="9" width="4.75" style="1" customWidth="1"/>
    <col min="10" max="10" width="8.75" style="1" customWidth="1"/>
    <col min="11" max="11" width="13.25" style="1" customWidth="1"/>
    <col min="12" max="12" width="2.75" style="1" customWidth="1"/>
    <col min="13" max="13" width="0.625" style="1" customWidth="1"/>
    <col min="14" max="15" width="3.625" style="1"/>
    <col min="16" max="19" width="30.75" style="1" customWidth="1"/>
    <col min="20" max="20" width="33.125" style="1" customWidth="1"/>
    <col min="21" max="16384" width="3.625" style="1"/>
  </cols>
  <sheetData>
    <row r="1" spans="2:24" ht="19.5" customHeight="1" x14ac:dyDescent="0.15">
      <c r="B1" s="204" t="s">
        <v>29</v>
      </c>
      <c r="C1" s="205"/>
      <c r="D1" s="204"/>
      <c r="E1" s="206"/>
      <c r="F1" s="206"/>
      <c r="G1" s="206"/>
      <c r="H1" s="205"/>
      <c r="I1" s="205"/>
      <c r="J1" s="205"/>
      <c r="K1" s="205"/>
      <c r="L1" s="205"/>
    </row>
    <row r="2" spans="2:24" ht="15" customHeight="1" x14ac:dyDescent="0.15">
      <c r="B2" s="160"/>
      <c r="C2" s="160"/>
      <c r="D2" s="160"/>
      <c r="E2" s="207"/>
      <c r="F2" s="207"/>
      <c r="G2" s="207"/>
      <c r="H2" s="207"/>
      <c r="I2" s="207"/>
      <c r="J2" s="733">
        <f ca="1">TODAY()</f>
        <v>45848</v>
      </c>
      <c r="K2" s="733"/>
      <c r="L2" s="207"/>
    </row>
    <row r="3" spans="2:24" ht="15" customHeight="1" x14ac:dyDescent="0.15">
      <c r="B3" s="160"/>
      <c r="C3" s="160"/>
      <c r="D3" s="160"/>
      <c r="E3" s="207"/>
      <c r="F3" s="207"/>
      <c r="G3" s="207"/>
      <c r="H3" s="207"/>
      <c r="I3" s="207"/>
      <c r="J3" s="378"/>
      <c r="K3" s="378"/>
      <c r="L3" s="207"/>
    </row>
    <row r="4" spans="2:24" ht="15" customHeight="1" x14ac:dyDescent="0.15">
      <c r="B4" s="160"/>
      <c r="C4" s="734" t="str">
        <f>+入力シート!E9&amp;"　　"&amp;入力シート!G9</f>
        <v>　　御中</v>
      </c>
      <c r="D4" s="735"/>
      <c r="E4" s="736"/>
      <c r="F4" s="736"/>
      <c r="G4" s="160"/>
      <c r="H4" s="160"/>
      <c r="I4" s="160"/>
      <c r="J4" s="160"/>
      <c r="K4" s="160"/>
      <c r="L4" s="160"/>
      <c r="P4" s="1" t="s">
        <v>660</v>
      </c>
      <c r="R4" s="344"/>
      <c r="S4" s="344"/>
      <c r="T4" s="344"/>
      <c r="U4" s="2"/>
      <c r="V4" s="2"/>
      <c r="W4" s="2"/>
      <c r="X4" s="2"/>
    </row>
    <row r="5" spans="2:24" ht="15" customHeight="1" x14ac:dyDescent="0.15">
      <c r="B5" s="160"/>
      <c r="C5" s="162"/>
      <c r="D5" s="160"/>
      <c r="E5" s="160"/>
      <c r="F5" s="160"/>
      <c r="G5" s="160"/>
      <c r="H5" s="160"/>
      <c r="I5" s="160"/>
      <c r="J5" s="160"/>
      <c r="K5" s="160"/>
      <c r="L5" s="160"/>
      <c r="P5" s="345" t="s">
        <v>661</v>
      </c>
      <c r="Q5" s="346" t="s">
        <v>662</v>
      </c>
      <c r="R5" s="345"/>
      <c r="S5" s="345"/>
      <c r="T5" s="345"/>
      <c r="U5" s="2"/>
      <c r="V5" s="2"/>
      <c r="W5" s="2"/>
      <c r="X5" s="2"/>
    </row>
    <row r="6" spans="2:24" ht="15" customHeight="1" x14ac:dyDescent="0.15">
      <c r="B6" s="160"/>
      <c r="C6" s="160"/>
      <c r="D6" s="160"/>
      <c r="E6" s="160"/>
      <c r="F6" s="160"/>
      <c r="G6" s="160"/>
      <c r="H6" s="158" t="str" cm="1">
        <f t="array" ref="H6">_xlfn.IFS(入力シート!$E$8=基本入力データシート!$D$3,基本入力データシート!$E$3,入力シート!$E$8=基本入力データシート!$D$7,基本入力データシート!$E$7,入力シート!$E$8=基本入力データシート!$D$8,基本入力データシート!$E$8,入力シート!$E$8=基本入力データシート!$D$4,基本入力データシート!$E$4,入力シート!$E$8=基本入力データシート!$D$5,基本入力データシート!$E$5,入力シート!$E$8=基本入力データシート!$D$6,基本入力データシート!$E$6)</f>
        <v>〒150-0002  東京都渋谷区渋谷1-13-9</v>
      </c>
      <c r="I6" s="159"/>
      <c r="J6" s="160"/>
      <c r="K6" s="160"/>
      <c r="L6" s="160"/>
      <c r="P6" s="345" t="s">
        <v>663</v>
      </c>
      <c r="Q6" s="347" t="s">
        <v>664</v>
      </c>
      <c r="R6" s="348"/>
      <c r="S6" s="349"/>
      <c r="T6" s="350"/>
      <c r="U6" s="2"/>
      <c r="V6" s="2"/>
      <c r="W6" s="2"/>
      <c r="X6" s="2"/>
    </row>
    <row r="7" spans="2:24" ht="15" customHeight="1" x14ac:dyDescent="0.15">
      <c r="B7" s="160"/>
      <c r="C7" s="160"/>
      <c r="D7" s="160"/>
      <c r="E7" s="160"/>
      <c r="F7" s="160"/>
      <c r="G7" s="160"/>
      <c r="H7" s="158" t="str" cm="1">
        <f t="array" ref="H7">_xlfn.IFS(入力シート!$E$8=基本入力データシート!$D$3,基本入力データシート!$F$3,入力シート!$E$8=基本入力データシート!$D$7,基本入力データシート!$F$7,入力シート!$E$8=基本入力データシート!$D$8,基本入力データシート!$F$8,入力シート!$E$8=基本入力データシート!$D$4,基本入力データシート!$F$4,入力シート!$E$8=基本入力データシート!$D$5,基本入力データシート!$F$5,入力シート!$E$8=基本入力データシート!$D$6,基本入力データシート!$F$6)</f>
        <v>株式会社 J 建築検査センター</v>
      </c>
      <c r="I7" s="161"/>
      <c r="J7" s="160"/>
      <c r="K7" s="160"/>
      <c r="L7" s="208"/>
      <c r="M7" s="5"/>
      <c r="P7" s="345" t="s">
        <v>665</v>
      </c>
      <c r="Q7" s="346" t="s">
        <v>881</v>
      </c>
      <c r="R7" s="349"/>
      <c r="S7" s="349"/>
      <c r="T7" s="350"/>
      <c r="U7" s="2"/>
      <c r="V7" s="2"/>
      <c r="W7" s="2"/>
      <c r="X7" s="2"/>
    </row>
    <row r="8" spans="2:24" ht="15" customHeight="1" x14ac:dyDescent="0.15">
      <c r="B8" s="160"/>
      <c r="C8" s="160"/>
      <c r="D8" s="160"/>
      <c r="E8" s="160"/>
      <c r="F8" s="160"/>
      <c r="G8" s="160"/>
      <c r="H8" s="158" t="str" cm="1">
        <f t="array" ref="H8">_xlfn.IFS(入力シート!$E$8=基本入力データシート!$D$3,基本入力データシート!$G$3,入力シート!$E$8=基本入力データシート!$D$7,基本入力データシート!$G$7,入力シート!$E$8=基本入力データシート!$D$8,基本入力データシート!$G$8,入力シート!$E$8=基本入力データシート!$D$4,基本入力データシート!$G$4,入力シート!$E$8=基本入力データシート!$D$5,基本入力データシート!$G$5,入力シート!$E$8=基本入力データシート!$D$6,基本入力データシート!$G$6)</f>
        <v>TEL:03-5464-7778　FAX:03-5464-7779</v>
      </c>
      <c r="I8" s="161"/>
      <c r="J8" s="160"/>
      <c r="K8" s="160"/>
      <c r="L8" s="160"/>
      <c r="P8" s="2"/>
      <c r="Q8" s="2"/>
      <c r="R8" s="2"/>
      <c r="S8" s="2"/>
      <c r="T8" s="2"/>
      <c r="U8" s="2"/>
      <c r="V8" s="2"/>
      <c r="W8" s="2"/>
      <c r="X8" s="2"/>
    </row>
    <row r="9" spans="2:24" ht="15" customHeight="1" x14ac:dyDescent="0.15">
      <c r="B9" s="160"/>
      <c r="C9" s="209" t="s">
        <v>3</v>
      </c>
      <c r="D9" s="160"/>
      <c r="E9" s="160"/>
      <c r="F9" s="160"/>
      <c r="G9" s="160"/>
      <c r="H9" s="160"/>
      <c r="I9" s="161"/>
      <c r="J9" s="160"/>
      <c r="K9" s="160"/>
      <c r="L9" s="160"/>
      <c r="P9" s="1" t="s">
        <v>666</v>
      </c>
      <c r="R9" s="344"/>
      <c r="S9" s="344"/>
      <c r="T9" s="344"/>
      <c r="U9" s="2"/>
      <c r="V9" s="2"/>
      <c r="W9" s="2"/>
      <c r="X9" s="2"/>
    </row>
    <row r="10" spans="2:24" ht="11.25" customHeight="1" x14ac:dyDescent="0.15">
      <c r="B10" s="160"/>
      <c r="C10" s="210"/>
      <c r="D10" s="210"/>
      <c r="E10" s="210"/>
      <c r="F10" s="210"/>
      <c r="G10" s="210"/>
      <c r="H10" s="210"/>
      <c r="I10" s="210"/>
      <c r="J10" s="210"/>
      <c r="K10" s="210"/>
      <c r="L10" s="160"/>
      <c r="P10" s="1" t="s">
        <v>667</v>
      </c>
      <c r="R10" s="351"/>
      <c r="S10" s="351"/>
      <c r="T10" s="351"/>
      <c r="U10" s="2"/>
      <c r="V10" s="2"/>
      <c r="W10" s="2"/>
      <c r="X10" s="2"/>
    </row>
    <row r="11" spans="2:24" s="10" customFormat="1" ht="24" customHeight="1" x14ac:dyDescent="0.15">
      <c r="B11" s="211"/>
      <c r="C11" s="212" t="s">
        <v>7</v>
      </c>
      <c r="D11" s="737">
        <f>+入力シート!$E$10</f>
        <v>0</v>
      </c>
      <c r="E11" s="738"/>
      <c r="F11" s="738"/>
      <c r="G11" s="738"/>
      <c r="H11" s="738"/>
      <c r="I11" s="738"/>
      <c r="J11" s="738"/>
      <c r="K11" s="738"/>
      <c r="L11" s="211"/>
      <c r="P11" s="1" t="s">
        <v>668</v>
      </c>
      <c r="Q11" s="1"/>
      <c r="R11" s="351"/>
      <c r="S11" s="351"/>
      <c r="T11" s="351"/>
      <c r="U11" s="2"/>
      <c r="V11" s="2"/>
      <c r="W11" s="2"/>
      <c r="X11" s="2"/>
    </row>
    <row r="12" spans="2:24" s="10" customFormat="1" ht="24" customHeight="1" x14ac:dyDescent="0.15">
      <c r="B12" s="211"/>
      <c r="C12" s="213" t="s">
        <v>6</v>
      </c>
      <c r="D12" s="163">
        <f>+$K$42</f>
        <v>0</v>
      </c>
      <c r="E12" s="214" t="s">
        <v>14</v>
      </c>
      <c r="F12" s="214"/>
      <c r="G12" s="214"/>
      <c r="H12" s="214"/>
      <c r="I12" s="215"/>
      <c r="J12" s="215"/>
      <c r="K12" s="215"/>
      <c r="L12" s="211"/>
      <c r="P12" s="1" t="s">
        <v>669</v>
      </c>
      <c r="Q12" s="1"/>
      <c r="R12" s="351"/>
      <c r="S12" s="351"/>
      <c r="T12" s="351"/>
      <c r="U12" s="2"/>
      <c r="V12" s="2"/>
      <c r="W12" s="2"/>
      <c r="X12" s="2"/>
    </row>
    <row r="13" spans="2:24" s="2" customFormat="1" ht="15" customHeight="1" x14ac:dyDescent="0.15">
      <c r="B13" s="219"/>
      <c r="C13" s="216" t="s">
        <v>4</v>
      </c>
      <c r="D13" s="217" t="s">
        <v>8</v>
      </c>
      <c r="E13" s="218" t="s">
        <v>5</v>
      </c>
      <c r="F13" s="216"/>
      <c r="G13" s="739"/>
      <c r="H13" s="740"/>
      <c r="I13" s="740"/>
      <c r="J13" s="740"/>
      <c r="K13" s="740"/>
      <c r="L13" s="158"/>
      <c r="P13" s="1" t="s">
        <v>670</v>
      </c>
      <c r="Q13" s="1"/>
      <c r="R13" s="351"/>
      <c r="S13" s="351"/>
      <c r="T13" s="351"/>
    </row>
    <row r="14" spans="2:24" s="2" customFormat="1" ht="15" customHeight="1" x14ac:dyDescent="0.15">
      <c r="B14" s="741" t="s">
        <v>9</v>
      </c>
      <c r="C14" s="741"/>
      <c r="D14" s="741"/>
      <c r="E14" s="741"/>
      <c r="F14" s="741"/>
      <c r="G14" s="741"/>
      <c r="H14" s="222" t="s">
        <v>10</v>
      </c>
      <c r="I14" s="223" t="s">
        <v>0</v>
      </c>
      <c r="J14" s="224" t="s">
        <v>11</v>
      </c>
      <c r="K14" s="742" t="s">
        <v>12</v>
      </c>
      <c r="L14" s="741"/>
      <c r="P14" s="1"/>
      <c r="Q14" s="1"/>
      <c r="R14" s="344"/>
      <c r="S14" s="344"/>
      <c r="T14" s="344"/>
    </row>
    <row r="15" spans="2:24" s="2" customFormat="1" ht="15" customHeight="1" x14ac:dyDescent="0.15">
      <c r="B15" s="220"/>
      <c r="C15" s="164" t="s">
        <v>730</v>
      </c>
      <c r="D15" s="746" t="str">
        <f>+入力シート!$E$12&amp;入力シート!$F$12&amp;入力シート!$G$12</f>
        <v>東京都</v>
      </c>
      <c r="E15" s="738"/>
      <c r="F15" s="738"/>
      <c r="G15" s="738"/>
      <c r="H15" s="747" t="str">
        <f>+入力シート!$E$16</f>
        <v>一戸建ての住宅</v>
      </c>
      <c r="I15" s="748"/>
      <c r="J15" s="748"/>
      <c r="K15" s="166" t="str">
        <f>IF(入力シート!F16="","",入力シート!F16)</f>
        <v/>
      </c>
      <c r="L15" s="187" t="str">
        <f>IF(K15="","","戸")</f>
        <v/>
      </c>
      <c r="P15" s="1"/>
      <c r="Q15" s="1"/>
      <c r="R15" s="351"/>
      <c r="S15" s="351"/>
      <c r="T15" s="351"/>
    </row>
    <row r="16" spans="2:24" s="2" customFormat="1" ht="15" customHeight="1" x14ac:dyDescent="0.15">
      <c r="B16" s="221"/>
      <c r="C16" s="165" t="s">
        <v>731</v>
      </c>
      <c r="D16" s="167" t="str">
        <f>+入力シート!$E$14</f>
        <v>木造</v>
      </c>
      <c r="E16" s="189" t="s">
        <v>46</v>
      </c>
      <c r="F16" s="168">
        <f>+入力シート!$G$14</f>
        <v>2</v>
      </c>
      <c r="G16" s="190" t="s">
        <v>17</v>
      </c>
      <c r="H16" s="187" t="str">
        <f>IF(入力シート!$H$14="","-",入力シート!$H$14)</f>
        <v>-</v>
      </c>
      <c r="I16" s="191" t="s">
        <v>31</v>
      </c>
      <c r="J16" s="192" t="s">
        <v>30</v>
      </c>
      <c r="K16" s="749" t="str">
        <f>IFERROR(IF(入力シート!$H$34&lt;&gt;"",入力シート!$H$34,(_xlfn.XLOOKUP(入力シート!$F$14,基本入力データシート!$AG$3:$AG$32,基本入力データシート!$AH$3:$AH$32))),"")</f>
        <v>0-100㎡未満</v>
      </c>
      <c r="L16" s="750"/>
      <c r="P16" s="1"/>
      <c r="Q16" s="1"/>
      <c r="R16" s="344"/>
      <c r="S16" s="344"/>
      <c r="T16" s="344"/>
    </row>
    <row r="17" spans="2:20" s="2" customFormat="1" ht="15" customHeight="1" x14ac:dyDescent="0.15">
      <c r="B17" s="333" t="s">
        <v>39</v>
      </c>
      <c r="C17" s="375" t="s">
        <v>130</v>
      </c>
      <c r="D17" s="188"/>
      <c r="E17" s="226"/>
      <c r="F17" s="226"/>
      <c r="G17" s="226"/>
      <c r="H17" s="4"/>
      <c r="I17" s="4"/>
      <c r="J17" s="28"/>
      <c r="K17" s="24"/>
      <c r="L17" s="12"/>
      <c r="P17" s="1"/>
      <c r="Q17" s="1"/>
      <c r="R17" s="344"/>
      <c r="S17" s="344"/>
      <c r="T17" s="344"/>
    </row>
    <row r="18" spans="2:20" s="2" customFormat="1" ht="15" customHeight="1" x14ac:dyDescent="0.15">
      <c r="B18" s="186"/>
      <c r="C18" s="12"/>
      <c r="D18" s="12"/>
      <c r="E18" s="31"/>
      <c r="F18" s="31"/>
      <c r="G18" s="31"/>
      <c r="H18" s="4"/>
      <c r="I18" s="4"/>
      <c r="J18" s="156"/>
      <c r="K18" s="24"/>
      <c r="L18" s="186"/>
      <c r="P18" s="1"/>
      <c r="Q18" s="1"/>
      <c r="R18" s="351"/>
      <c r="S18" s="351"/>
      <c r="T18" s="351"/>
    </row>
    <row r="19" spans="2:20" s="2" customFormat="1" ht="15" customHeight="1" x14ac:dyDescent="0.15">
      <c r="B19" s="353" t="s">
        <v>13</v>
      </c>
      <c r="C19" s="192" t="s">
        <v>181</v>
      </c>
      <c r="D19" s="12"/>
      <c r="E19" s="31"/>
      <c r="F19" s="31"/>
      <c r="G19" s="31"/>
      <c r="H19" s="4"/>
      <c r="I19" s="4"/>
      <c r="J19" s="28"/>
      <c r="K19" s="24"/>
      <c r="L19" s="12"/>
      <c r="P19" s="1"/>
      <c r="Q19" s="1"/>
      <c r="R19" s="344"/>
      <c r="S19" s="344"/>
      <c r="T19" s="344"/>
    </row>
    <row r="20" spans="2:20" s="2" customFormat="1" ht="15" customHeight="1" x14ac:dyDescent="0.15">
      <c r="B20" s="335" t="s">
        <v>179</v>
      </c>
      <c r="C20" s="225" t="s">
        <v>131</v>
      </c>
      <c r="D20" s="12"/>
      <c r="E20" s="31"/>
      <c r="F20" s="31"/>
      <c r="G20" s="31"/>
      <c r="H20" s="4"/>
      <c r="I20" s="4"/>
      <c r="J20" s="156"/>
      <c r="K20" s="24"/>
      <c r="L20" s="12"/>
      <c r="P20" s="1"/>
      <c r="Q20" s="1"/>
      <c r="R20" s="351"/>
      <c r="S20" s="351"/>
      <c r="T20" s="351"/>
    </row>
    <row r="21" spans="2:20" s="2" customFormat="1" ht="15" customHeight="1" x14ac:dyDescent="0.15">
      <c r="B21" s="185" t="str">
        <f t="shared" ref="B21" si="0">IF($C21="","","・")</f>
        <v/>
      </c>
      <c r="C21" s="757"/>
      <c r="D21" s="773"/>
      <c r="E21" s="779"/>
      <c r="F21" s="779"/>
      <c r="G21" s="780"/>
      <c r="H21" s="174" t="str">
        <f>IF($C21="","",1)</f>
        <v/>
      </c>
      <c r="I21" s="174" t="str">
        <f>IF($C21="","","式")</f>
        <v/>
      </c>
      <c r="J21" s="175" t="str">
        <f>IFERROR(INDEX(省エネ料金表データ!$B$5:$P$24,MATCH($K$16,省エネ料金表データ!$A$5:$A$24,0),MATCH($C21,省エネ料金表データ!$B$4:$P$4,0)),"")</f>
        <v/>
      </c>
      <c r="K21" s="176" t="str">
        <f>IFERROR(+J21*H21,"")</f>
        <v/>
      </c>
      <c r="L21" s="185" t="str">
        <f>IF($C21="","","-")</f>
        <v/>
      </c>
      <c r="P21" s="1"/>
      <c r="Q21" s="1"/>
      <c r="R21" s="344"/>
      <c r="S21" s="344"/>
      <c r="T21" s="344"/>
    </row>
    <row r="22" spans="2:20" s="2" customFormat="1" ht="15" customHeight="1" x14ac:dyDescent="0.15">
      <c r="B22" s="334"/>
      <c r="C22" s="7"/>
      <c r="D22" s="12"/>
      <c r="E22" s="12"/>
      <c r="F22" s="12"/>
      <c r="G22" s="12"/>
      <c r="H22" s="4"/>
      <c r="I22" s="4"/>
      <c r="J22" s="156"/>
      <c r="K22" s="24"/>
    </row>
    <row r="23" spans="2:20" s="2" customFormat="1" ht="15" customHeight="1" x14ac:dyDescent="0.15">
      <c r="B23" s="186"/>
      <c r="C23" s="12"/>
      <c r="D23" s="12"/>
      <c r="E23" s="12"/>
      <c r="F23" s="12"/>
      <c r="G23" s="12"/>
      <c r="H23" s="4"/>
      <c r="I23" s="4"/>
      <c r="J23" s="156"/>
      <c r="K23" s="24"/>
      <c r="L23" s="186"/>
    </row>
    <row r="24" spans="2:20" s="2" customFormat="1" ht="15" customHeight="1" x14ac:dyDescent="0.15">
      <c r="B24" s="335" t="s">
        <v>180</v>
      </c>
      <c r="C24" s="225" t="s">
        <v>90</v>
      </c>
      <c r="D24" s="12"/>
      <c r="E24" s="12"/>
      <c r="F24" s="12"/>
      <c r="G24" s="12"/>
      <c r="H24" s="4"/>
      <c r="I24" s="4"/>
      <c r="J24" s="156"/>
      <c r="K24" s="24"/>
      <c r="L24" s="12"/>
      <c r="P24" s="1"/>
      <c r="Q24" s="1"/>
      <c r="R24" s="351"/>
      <c r="S24" s="351"/>
      <c r="T24" s="351"/>
    </row>
    <row r="25" spans="2:20" s="2" customFormat="1" ht="15" customHeight="1" x14ac:dyDescent="0.15">
      <c r="B25" s="185" t="str">
        <f t="shared" ref="B25" si="1">IF($C25="","","・")</f>
        <v/>
      </c>
      <c r="C25" s="794"/>
      <c r="D25" s="795"/>
      <c r="E25" s="31"/>
      <c r="F25" s="31"/>
      <c r="G25" s="31"/>
      <c r="H25" s="174" t="str">
        <f>IF($C25="","",1)</f>
        <v/>
      </c>
      <c r="I25" s="174" t="str">
        <f>IF($C25="","","式")</f>
        <v/>
      </c>
      <c r="J25" s="175" t="str">
        <f>IFERROR(INDEX(省エネ料金表データ!$R$5:$T$24,MATCH($K$16,省エネ料金表データ!$A$5:$A$24,0),MATCH($C25,省エネ料金表データ!$R$4:$T$4,0)),"")</f>
        <v/>
      </c>
      <c r="K25" s="176" t="str">
        <f>IFERROR(+J25*H25,"")</f>
        <v/>
      </c>
      <c r="L25" s="185" t="str">
        <f>IF($C25="","","-")</f>
        <v/>
      </c>
      <c r="P25" s="1"/>
      <c r="Q25" s="1"/>
      <c r="R25" s="344"/>
      <c r="S25" s="344"/>
      <c r="T25" s="344"/>
    </row>
    <row r="26" spans="2:20" s="2" customFormat="1" ht="15" customHeight="1" x14ac:dyDescent="0.15">
      <c r="B26" s="12"/>
      <c r="C26" s="12"/>
      <c r="D26" s="12"/>
      <c r="E26" s="31"/>
      <c r="F26" s="31"/>
      <c r="G26" s="31"/>
      <c r="H26" s="4"/>
      <c r="I26" s="4"/>
      <c r="J26" s="156"/>
      <c r="K26" s="24"/>
      <c r="L26" s="186"/>
      <c r="N26" s="2" t="s">
        <v>936</v>
      </c>
      <c r="P26" s="1"/>
      <c r="Q26" s="1"/>
      <c r="R26" s="351"/>
      <c r="S26" s="351"/>
      <c r="T26" s="351"/>
    </row>
    <row r="27" spans="2:20" s="2" customFormat="1" ht="15" customHeight="1" x14ac:dyDescent="0.15">
      <c r="B27" s="12"/>
      <c r="C27" s="12"/>
      <c r="D27" s="12"/>
      <c r="E27" s="31"/>
      <c r="F27" s="31"/>
      <c r="G27" s="31"/>
      <c r="H27" s="4"/>
      <c r="I27" s="4"/>
      <c r="J27" s="156"/>
      <c r="K27" s="24"/>
      <c r="L27" s="186"/>
      <c r="P27" s="1"/>
      <c r="Q27" s="1"/>
      <c r="R27" s="351"/>
      <c r="S27" s="351"/>
      <c r="T27" s="351"/>
    </row>
    <row r="28" spans="2:20" s="2" customFormat="1" ht="15" customHeight="1" x14ac:dyDescent="0.15">
      <c r="B28" s="12"/>
      <c r="C28" s="12"/>
      <c r="D28" s="12"/>
      <c r="E28" s="31"/>
      <c r="F28" s="31"/>
      <c r="G28" s="31"/>
      <c r="H28" s="4"/>
      <c r="I28" s="4"/>
      <c r="J28" s="156"/>
      <c r="K28" s="24"/>
      <c r="L28" s="186"/>
      <c r="P28" s="1"/>
      <c r="Q28" s="1"/>
      <c r="R28" s="351"/>
      <c r="S28" s="351"/>
      <c r="T28" s="351"/>
    </row>
    <row r="29" spans="2:20" s="2" customFormat="1" ht="15" customHeight="1" x14ac:dyDescent="0.15">
      <c r="B29" s="335" t="s">
        <v>13</v>
      </c>
      <c r="C29" s="225" t="s">
        <v>132</v>
      </c>
      <c r="D29" s="12"/>
      <c r="E29" s="31"/>
      <c r="F29" s="31"/>
      <c r="G29" s="31"/>
      <c r="H29" s="4"/>
      <c r="I29" s="4"/>
      <c r="J29" s="156"/>
      <c r="K29" s="24"/>
      <c r="L29" s="186"/>
      <c r="P29" s="1"/>
      <c r="Q29" s="1"/>
      <c r="R29" s="344"/>
      <c r="S29" s="344"/>
      <c r="T29" s="344"/>
    </row>
    <row r="30" spans="2:20" s="2" customFormat="1" ht="15" customHeight="1" x14ac:dyDescent="0.15">
      <c r="B30" s="185" t="str">
        <f t="shared" ref="B30:B34" si="2">IF($C30="","","・")</f>
        <v/>
      </c>
      <c r="C30" s="794"/>
      <c r="D30" s="795"/>
      <c r="E30" s="12"/>
      <c r="F30" s="31"/>
      <c r="G30" s="31"/>
      <c r="H30" s="177"/>
      <c r="I30" s="177"/>
      <c r="J30" s="178"/>
      <c r="K30" s="179"/>
      <c r="L30" s="186"/>
      <c r="P30" s="1"/>
      <c r="Q30" s="1"/>
      <c r="R30" s="351"/>
      <c r="S30" s="351"/>
      <c r="T30" s="351"/>
    </row>
    <row r="31" spans="2:20" s="2" customFormat="1" ht="15" customHeight="1" x14ac:dyDescent="0.15">
      <c r="B31" s="185" t="str">
        <f t="shared" si="2"/>
        <v/>
      </c>
      <c r="C31" s="773"/>
      <c r="D31" s="773"/>
      <c r="E31" s="12"/>
      <c r="F31" s="31"/>
      <c r="G31" s="31"/>
      <c r="H31" s="174" t="str">
        <f t="shared" ref="H31:H37" si="3">IF($C31="","",1)</f>
        <v/>
      </c>
      <c r="I31" s="174" t="str">
        <f>IF($C31="","","式")</f>
        <v/>
      </c>
      <c r="J31" s="175" t="str">
        <f>IFERROR(INDEX(省エネ料金表データ!$X$5:$AH$6,MATCH($C$30,省エネ料金表データ!$W$5:$W$6,0),MATCH($C31,省エネ料金表データ!$X$4:$AH$4,0)),"")</f>
        <v/>
      </c>
      <c r="K31" s="176" t="str">
        <f>IFERROR(+J31*H31,"")</f>
        <v/>
      </c>
      <c r="L31" s="185" t="str">
        <f t="shared" ref="L31:L37" si="4">IF($C31="","","-")</f>
        <v/>
      </c>
      <c r="N31" s="2" t="s">
        <v>182</v>
      </c>
      <c r="O31" s="2" t="s">
        <v>715</v>
      </c>
      <c r="P31" s="1"/>
      <c r="Q31" s="1"/>
      <c r="R31" s="351"/>
      <c r="S31" s="351"/>
      <c r="T31" s="351"/>
    </row>
    <row r="32" spans="2:20" s="2" customFormat="1" ht="15" customHeight="1" x14ac:dyDescent="0.15">
      <c r="B32" s="185" t="str">
        <f t="shared" si="2"/>
        <v/>
      </c>
      <c r="C32" s="744" t="str" cm="1">
        <f t="array" ref="C32">+_xlfn.IFS(C31=省エネ料金表データ!X4,"",C31=省エネ料金表データ!Y4,"",C31=省エネ料金表データ!Z4,省エネ料金表データ!AC4,C31=省エネ料金表データ!AA4,省エネ料金表データ!AD4,C31="","")</f>
        <v/>
      </c>
      <c r="D32" s="744"/>
      <c r="E32" s="12"/>
      <c r="F32" s="31"/>
      <c r="G32" s="31"/>
      <c r="H32" s="260" t="str">
        <f>+IF(C32="","",$K$15)</f>
        <v/>
      </c>
      <c r="I32" s="174" t="str">
        <f>IF(C32="","","戸")</f>
        <v/>
      </c>
      <c r="J32" s="175" t="str">
        <f>IFERROR(INDEX(省エネ料金表データ!$X$5:$AH$6,MATCH($C$30,省エネ料金表データ!$W$5:$W$6,0),MATCH($C32,省エネ料金表データ!$X$4:$AH$4,0)),"")</f>
        <v/>
      </c>
      <c r="K32" s="176" t="str">
        <f>IFERROR(+J32*H32,"")</f>
        <v/>
      </c>
      <c r="L32" s="185" t="str">
        <f t="shared" si="4"/>
        <v/>
      </c>
      <c r="P32" s="1"/>
      <c r="Q32" s="1"/>
      <c r="R32" s="351"/>
      <c r="S32" s="351"/>
      <c r="T32" s="351"/>
    </row>
    <row r="33" spans="2:23" s="2" customFormat="1" ht="15" customHeight="1" x14ac:dyDescent="0.15">
      <c r="B33" s="335" t="s">
        <v>738</v>
      </c>
      <c r="C33" s="743" t="s">
        <v>789</v>
      </c>
      <c r="D33" s="769"/>
      <c r="E33" s="769"/>
      <c r="F33" s="769"/>
      <c r="G33" s="770"/>
      <c r="H33" s="4"/>
      <c r="I33" s="4"/>
      <c r="J33" s="156"/>
      <c r="K33" s="24"/>
    </row>
    <row r="34" spans="2:23" s="2" customFormat="1" ht="15" customHeight="1" x14ac:dyDescent="0.15">
      <c r="B34" s="185" t="str">
        <f t="shared" si="2"/>
        <v/>
      </c>
      <c r="C34" s="794"/>
      <c r="D34" s="795"/>
      <c r="E34" s="31"/>
      <c r="F34" s="31"/>
      <c r="G34" s="31"/>
      <c r="H34" s="174" t="str">
        <f>IF($C34="","",1)</f>
        <v/>
      </c>
      <c r="I34" s="174" t="str">
        <f>IF($C34="","","式")</f>
        <v/>
      </c>
      <c r="J34" s="175" t="str">
        <f>IFERROR(INDEX(省エネ料金表データ!$X$5:$AH$6,MATCH($C$30,省エネ料金表データ!$W$5:$W$6,0),MATCH($C34,省エネ料金表データ!$X$4:$AH$4,0)),"")</f>
        <v/>
      </c>
      <c r="K34" s="176" t="str">
        <f>IFERROR(+J34*H34,"")</f>
        <v/>
      </c>
      <c r="L34" s="185" t="str">
        <f t="shared" si="4"/>
        <v/>
      </c>
    </row>
    <row r="35" spans="2:23" s="2" customFormat="1" ht="15" customHeight="1" x14ac:dyDescent="0.15">
      <c r="B35" s="335" t="s">
        <v>738</v>
      </c>
      <c r="C35" s="743" t="s">
        <v>800</v>
      </c>
      <c r="D35" s="754"/>
      <c r="E35" s="461"/>
      <c r="F35" s="461"/>
      <c r="G35" s="462"/>
      <c r="H35" s="4"/>
      <c r="I35" s="4"/>
      <c r="J35" s="156"/>
      <c r="K35" s="24"/>
      <c r="L35" s="186"/>
      <c r="P35" s="1"/>
      <c r="Q35" s="1"/>
      <c r="R35" s="344"/>
      <c r="S35" s="344"/>
      <c r="T35" s="344"/>
    </row>
    <row r="36" spans="2:23" s="2" customFormat="1" ht="15" customHeight="1" x14ac:dyDescent="0.15">
      <c r="B36" s="185" t="str">
        <f>IF($C36="","","・")</f>
        <v/>
      </c>
      <c r="C36" s="773"/>
      <c r="D36" s="774"/>
      <c r="E36" s="774"/>
      <c r="F36" s="774"/>
      <c r="G36" s="775"/>
      <c r="H36" s="174" t="str">
        <f>IF($C36="","",1)</f>
        <v/>
      </c>
      <c r="I36" s="174" t="str">
        <f>IF($C36="","","式")</f>
        <v/>
      </c>
      <c r="J36" s="175" t="str">
        <f>IF(C36="","",SUM(K20:K34)*0.2)</f>
        <v/>
      </c>
      <c r="K36" s="176" t="str">
        <f>IFERROR(+J36*H36,"")</f>
        <v/>
      </c>
      <c r="L36" s="185" t="str">
        <f>IF($C36="","","-")</f>
        <v/>
      </c>
    </row>
    <row r="37" spans="2:23" s="2" customFormat="1" ht="15" customHeight="1" x14ac:dyDescent="0.15">
      <c r="B37" s="186"/>
      <c r="C37" s="12"/>
      <c r="D37" s="12"/>
      <c r="E37" s="31"/>
      <c r="F37" s="31"/>
      <c r="G37" s="31"/>
      <c r="H37" s="4" t="str">
        <f t="shared" si="3"/>
        <v/>
      </c>
      <c r="I37" s="4" t="str">
        <f>IF($C37="","","式")</f>
        <v/>
      </c>
      <c r="J37" s="156" t="str">
        <f>IFERROR(INDEX(確認申請料金表データ!C$4:Q$33,MATCH($K$16,確認申請料金表データ!B$4:B$33,0),MATCH($C37,確認申請料金表データ!C$3:Q$3,0)),"")</f>
        <v/>
      </c>
      <c r="K37" s="24" t="str">
        <f>IFERROR(+J37*H37,"")</f>
        <v/>
      </c>
      <c r="L37" s="186" t="str">
        <f t="shared" si="4"/>
        <v/>
      </c>
    </row>
    <row r="38" spans="2:23" s="2" customFormat="1" ht="15" customHeight="1" x14ac:dyDescent="0.15">
      <c r="B38" s="336"/>
      <c r="C38" s="336"/>
      <c r="D38" s="336"/>
      <c r="E38" s="336"/>
      <c r="F38" s="336"/>
      <c r="G38" s="336"/>
      <c r="H38" s="766" t="s">
        <v>21</v>
      </c>
      <c r="I38" s="767"/>
      <c r="J38" s="768"/>
      <c r="K38" s="171">
        <f>SUM(K17:K37)</f>
        <v>0</v>
      </c>
      <c r="L38" s="305" t="s">
        <v>1</v>
      </c>
    </row>
    <row r="39" spans="2:23" s="2" customFormat="1" ht="15" customHeight="1" x14ac:dyDescent="0.15">
      <c r="B39" s="334"/>
      <c r="C39" s="7"/>
      <c r="D39" s="12"/>
      <c r="E39" s="31"/>
      <c r="F39" s="31"/>
      <c r="G39" s="31"/>
      <c r="H39" s="177"/>
      <c r="I39" s="177"/>
      <c r="J39" s="178"/>
      <c r="K39" s="179"/>
      <c r="L39" s="12"/>
    </row>
    <row r="40" spans="2:23" s="2" customFormat="1" ht="15" customHeight="1" x14ac:dyDescent="0.15">
      <c r="B40" s="337"/>
      <c r="C40" s="259" t="s">
        <v>37</v>
      </c>
      <c r="D40" s="20"/>
      <c r="E40" s="21"/>
      <c r="F40" s="21"/>
      <c r="G40" s="21"/>
      <c r="H40" s="25"/>
      <c r="I40" s="4"/>
      <c r="J40" s="29"/>
      <c r="K40" s="170">
        <f>K38*0.1</f>
        <v>0</v>
      </c>
      <c r="L40" s="185" t="s">
        <v>14</v>
      </c>
    </row>
    <row r="41" spans="2:23" s="2" customFormat="1" ht="15" customHeight="1" x14ac:dyDescent="0.15">
      <c r="B41" s="338"/>
      <c r="C41" s="248"/>
      <c r="D41" s="15"/>
      <c r="E41" s="249"/>
      <c r="F41" s="249"/>
      <c r="G41" s="249"/>
      <c r="H41" s="250"/>
      <c r="I41" s="250"/>
      <c r="J41" s="251"/>
      <c r="K41" s="252"/>
      <c r="L41" s="15"/>
    </row>
    <row r="42" spans="2:23" s="2" customFormat="1" ht="15" customHeight="1" thickBot="1" x14ac:dyDescent="0.2">
      <c r="C42" s="2" t="s">
        <v>91</v>
      </c>
      <c r="H42" s="758" t="s">
        <v>2</v>
      </c>
      <c r="I42" s="758"/>
      <c r="J42" s="758"/>
      <c r="K42" s="195">
        <f>SUM(K38:K41)</f>
        <v>0</v>
      </c>
      <c r="L42" s="306" t="s">
        <v>1</v>
      </c>
    </row>
    <row r="43" spans="2:23" s="2" customFormat="1" ht="15" customHeight="1" thickTop="1" x14ac:dyDescent="0.15">
      <c r="B43" s="11"/>
      <c r="C43" s="16" t="s">
        <v>783</v>
      </c>
      <c r="I43" s="8"/>
      <c r="J43" s="8"/>
      <c r="K43" s="27"/>
      <c r="L43" s="16"/>
    </row>
    <row r="44" spans="2:23" s="2" customFormat="1" ht="15" customHeight="1" x14ac:dyDescent="0.15">
      <c r="C44" s="16" t="s">
        <v>92</v>
      </c>
    </row>
    <row r="45" spans="2:23" s="2" customFormat="1" ht="15" customHeight="1" x14ac:dyDescent="0.15">
      <c r="C45" s="16" t="s">
        <v>784</v>
      </c>
    </row>
    <row r="46" spans="2:23" s="2" customFormat="1" ht="15" customHeight="1" x14ac:dyDescent="0.15">
      <c r="C46" s="16" t="s">
        <v>785</v>
      </c>
    </row>
    <row r="47" spans="2:23" s="2" customFormat="1" ht="15" customHeight="1" x14ac:dyDescent="0.15">
      <c r="C47" s="16" t="s">
        <v>786</v>
      </c>
      <c r="P47" s="1"/>
      <c r="Q47" s="1"/>
      <c r="R47" s="1"/>
      <c r="S47" s="1"/>
      <c r="T47" s="1"/>
      <c r="U47" s="1"/>
      <c r="V47" s="1"/>
    </row>
    <row r="48" spans="2:23" s="2" customFormat="1" ht="15" customHeight="1" x14ac:dyDescent="0.15">
      <c r="C48" s="16" t="s">
        <v>777</v>
      </c>
      <c r="D48" s="1"/>
      <c r="P48" s="1"/>
      <c r="Q48" s="1"/>
      <c r="R48" s="1"/>
      <c r="S48" s="1"/>
      <c r="T48" s="1"/>
      <c r="U48" s="1"/>
      <c r="V48" s="1"/>
      <c r="W48" s="1"/>
    </row>
    <row r="49" spans="3:12" ht="15" customHeight="1" x14ac:dyDescent="0.15">
      <c r="C49" s="2"/>
      <c r="K49" s="30"/>
    </row>
    <row r="50" spans="3:12" ht="16.5" customHeight="1" x14ac:dyDescent="0.15">
      <c r="L50" s="30" t="s">
        <v>32</v>
      </c>
    </row>
  </sheetData>
  <mergeCells count="20">
    <mergeCell ref="C30:D30"/>
    <mergeCell ref="C31:D31"/>
    <mergeCell ref="C34:D34"/>
    <mergeCell ref="C25:D25"/>
    <mergeCell ref="D11:K11"/>
    <mergeCell ref="G13:K13"/>
    <mergeCell ref="B14:G14"/>
    <mergeCell ref="K14:L14"/>
    <mergeCell ref="J2:K2"/>
    <mergeCell ref="D15:G15"/>
    <mergeCell ref="K16:L16"/>
    <mergeCell ref="C21:G21"/>
    <mergeCell ref="C4:F4"/>
    <mergeCell ref="H15:J15"/>
    <mergeCell ref="C36:G36"/>
    <mergeCell ref="H42:J42"/>
    <mergeCell ref="H38:J38"/>
    <mergeCell ref="C32:D32"/>
    <mergeCell ref="C33:G33"/>
    <mergeCell ref="C35:D35"/>
  </mergeCells>
  <phoneticPr fontId="4"/>
  <printOptions horizontalCentered="1" verticalCentered="1"/>
  <pageMargins left="0.39370078740157483" right="0.39370078740157483" top="0.39370078740157483" bottom="0" header="0" footer="0"/>
  <pageSetup paperSize="9" orientation="portrait" blackAndWhite="1" r:id="rId1"/>
  <headerFooter alignWithMargins="0"/>
  <extLst>
    <ext xmlns:x14="http://schemas.microsoft.com/office/spreadsheetml/2009/9/main" uri="{CCE6A557-97BC-4b89-ADB6-D9C93CAAB3DF}">
      <x14:dataValidations xmlns:xm="http://schemas.microsoft.com/office/excel/2006/main" count="6">
        <x14:dataValidation type="list" showInputMessage="1" showErrorMessage="1" xr:uid="{C40F966D-FFA2-4764-92FB-D0EBA2FFB6D4}">
          <x14:formula1>
            <xm:f>省エネ料金表データ!$W$4:$W$6</xm:f>
          </x14:formula1>
          <xm:sqref>C30</xm:sqref>
        </x14:dataValidation>
        <x14:dataValidation type="list" allowBlank="1" showInputMessage="1" showErrorMessage="1" xr:uid="{6AED0EC8-D339-468C-9BC6-8178872EB0C3}">
          <x14:formula1>
            <xm:f>省エネ料金表データ!$A$4:$P$4</xm:f>
          </x14:formula1>
          <xm:sqref>C21:D21 C23</xm:sqref>
        </x14:dataValidation>
        <x14:dataValidation type="list" showInputMessage="1" showErrorMessage="1" xr:uid="{55B25C1E-F068-4D6E-AD98-7F626865FD04}">
          <x14:formula1>
            <xm:f>省エネ料金表データ!$Q$4:$T$4</xm:f>
          </x14:formula1>
          <xm:sqref>C25</xm:sqref>
        </x14:dataValidation>
        <x14:dataValidation type="list" showInputMessage="1" showErrorMessage="1" xr:uid="{18286F51-42EF-4B7B-B014-697EB9610B82}">
          <x14:formula1>
            <xm:f>省エネ料金表データ!$AE$4:$AH$4</xm:f>
          </x14:formula1>
          <xm:sqref>C34:D34</xm:sqref>
        </x14:dataValidation>
        <x14:dataValidation type="list" allowBlank="1" showInputMessage="1" showErrorMessage="1" xr:uid="{A01236AC-5325-49BA-92B5-9B444B437A22}">
          <x14:formula1>
            <xm:f>省エネ料金表データ!$W$4:$AA$4</xm:f>
          </x14:formula1>
          <xm:sqref>C31:D31</xm:sqref>
        </x14:dataValidation>
        <x14:dataValidation type="list" allowBlank="1" showInputMessage="1" showErrorMessage="1" xr:uid="{93089C7C-AF5A-492B-9236-6AEB9678D2B8}">
          <x14:formula1>
            <xm:f>省エネ料金表データ!$U$4:$V$4</xm:f>
          </x14:formula1>
          <xm:sqref>C36:G36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3BD98-B086-40C1-A3EF-7140CD3D011F}">
  <sheetPr>
    <tabColor rgb="FFFFFF00"/>
  </sheetPr>
  <dimension ref="B1:X50"/>
  <sheetViews>
    <sheetView view="pageBreakPreview" topLeftCell="A10" zoomScaleNormal="100" zoomScaleSheetLayoutView="100" workbookViewId="0">
      <selection activeCell="C18" sqref="C18:D18"/>
    </sheetView>
  </sheetViews>
  <sheetFormatPr defaultColWidth="3.625" defaultRowHeight="16.5" customHeight="1" x14ac:dyDescent="0.15"/>
  <cols>
    <col min="1" max="1" width="0.625" style="1" customWidth="1"/>
    <col min="2" max="2" width="2.75" style="1" customWidth="1"/>
    <col min="3" max="3" width="19.625" style="1" customWidth="1"/>
    <col min="4" max="4" width="17.625" style="1" customWidth="1"/>
    <col min="5" max="5" width="5.25" style="1" customWidth="1"/>
    <col min="6" max="6" width="4.75" style="1" customWidth="1"/>
    <col min="7" max="7" width="7.25" style="1" customWidth="1"/>
    <col min="8" max="9" width="4.75" style="1" customWidth="1"/>
    <col min="10" max="10" width="8.75" style="1" customWidth="1"/>
    <col min="11" max="11" width="13.25" style="1" customWidth="1"/>
    <col min="12" max="12" width="2.75" style="1" customWidth="1"/>
    <col min="13" max="13" width="0.625" style="1" customWidth="1"/>
    <col min="14" max="15" width="3.625" style="1"/>
    <col min="16" max="19" width="30.75" style="1" customWidth="1"/>
    <col min="20" max="20" width="33.125" style="1" customWidth="1"/>
    <col min="21" max="16384" width="3.625" style="1"/>
  </cols>
  <sheetData>
    <row r="1" spans="2:24" ht="19.5" customHeight="1" x14ac:dyDescent="0.15">
      <c r="B1" s="204" t="s">
        <v>29</v>
      </c>
      <c r="C1" s="205"/>
      <c r="D1" s="204"/>
      <c r="E1" s="206"/>
      <c r="F1" s="206"/>
      <c r="G1" s="206"/>
      <c r="H1" s="205"/>
      <c r="I1" s="205"/>
      <c r="J1" s="205"/>
      <c r="K1" s="205"/>
      <c r="L1" s="205"/>
    </row>
    <row r="2" spans="2:24" ht="15" customHeight="1" x14ac:dyDescent="0.15">
      <c r="B2" s="160"/>
      <c r="C2" s="160"/>
      <c r="D2" s="160"/>
      <c r="E2" s="207"/>
      <c r="F2" s="207"/>
      <c r="G2" s="207"/>
      <c r="H2" s="207"/>
      <c r="I2" s="207"/>
      <c r="J2" s="733">
        <f ca="1">TODAY()</f>
        <v>45848</v>
      </c>
      <c r="K2" s="733"/>
      <c r="L2" s="207"/>
    </row>
    <row r="3" spans="2:24" ht="15" customHeight="1" x14ac:dyDescent="0.15">
      <c r="B3" s="160"/>
      <c r="C3" s="160"/>
      <c r="D3" s="160"/>
      <c r="E3" s="207"/>
      <c r="F3" s="207"/>
      <c r="G3" s="207"/>
      <c r="H3" s="207"/>
      <c r="I3" s="207"/>
      <c r="J3" s="378"/>
      <c r="K3" s="378"/>
      <c r="L3" s="207"/>
    </row>
    <row r="4" spans="2:24" ht="15" customHeight="1" x14ac:dyDescent="0.15">
      <c r="B4" s="160"/>
      <c r="C4" s="734" t="str">
        <f>+入力シート!E9&amp;"　　"&amp;入力シート!G9</f>
        <v>　　御中</v>
      </c>
      <c r="D4" s="735"/>
      <c r="E4" s="736"/>
      <c r="F4" s="736"/>
      <c r="G4" s="160"/>
      <c r="H4" s="160"/>
      <c r="I4" s="160"/>
      <c r="J4" s="160"/>
      <c r="K4" s="160"/>
      <c r="L4" s="160"/>
      <c r="P4" s="1" t="s">
        <v>660</v>
      </c>
      <c r="R4" s="344"/>
      <c r="S4" s="344"/>
      <c r="T4" s="344"/>
      <c r="U4" s="2"/>
      <c r="V4" s="2"/>
      <c r="W4" s="2"/>
      <c r="X4" s="2"/>
    </row>
    <row r="5" spans="2:24" ht="15" customHeight="1" x14ac:dyDescent="0.15">
      <c r="B5" s="160"/>
      <c r="C5" s="162"/>
      <c r="D5" s="160"/>
      <c r="E5" s="160"/>
      <c r="F5" s="160"/>
      <c r="G5" s="160"/>
      <c r="H5" s="160"/>
      <c r="I5" s="160"/>
      <c r="J5" s="160"/>
      <c r="K5" s="160"/>
      <c r="L5" s="160"/>
      <c r="P5" s="345" t="s">
        <v>661</v>
      </c>
      <c r="Q5" s="346" t="s">
        <v>662</v>
      </c>
      <c r="R5" s="345"/>
      <c r="S5" s="345"/>
      <c r="T5" s="345"/>
      <c r="U5" s="2"/>
      <c r="V5" s="2"/>
      <c r="W5" s="2"/>
      <c r="X5" s="2"/>
    </row>
    <row r="6" spans="2:24" ht="15" customHeight="1" x14ac:dyDescent="0.15">
      <c r="B6" s="160"/>
      <c r="C6" s="160"/>
      <c r="D6" s="160"/>
      <c r="E6" s="160"/>
      <c r="F6" s="160"/>
      <c r="G6" s="160"/>
      <c r="H6" s="158" t="str" cm="1">
        <f t="array" ref="H6">_xlfn.IFS(入力シート!$E$8=基本入力データシート!$D$3,基本入力データシート!$E$3,入力シート!$E$8=基本入力データシート!$D$7,基本入力データシート!$E$7,入力シート!$E$8=基本入力データシート!$D$8,基本入力データシート!$E$8,入力シート!$E$8=基本入力データシート!$D$4,基本入力データシート!$E$4,入力シート!$E$8=基本入力データシート!$D$5,基本入力データシート!$E$5,入力シート!$E$8=基本入力データシート!$D$6,基本入力データシート!$E$6)</f>
        <v>〒150-0002  東京都渋谷区渋谷1-13-9</v>
      </c>
      <c r="I6" s="159"/>
      <c r="J6" s="160"/>
      <c r="K6" s="160"/>
      <c r="L6" s="160"/>
      <c r="P6" s="345" t="s">
        <v>663</v>
      </c>
      <c r="Q6" s="347" t="s">
        <v>664</v>
      </c>
      <c r="R6" s="348"/>
      <c r="S6" s="349"/>
      <c r="T6" s="350"/>
      <c r="U6" s="2"/>
      <c r="V6" s="2"/>
      <c r="W6" s="2"/>
      <c r="X6" s="2"/>
    </row>
    <row r="7" spans="2:24" ht="15" customHeight="1" x14ac:dyDescent="0.15">
      <c r="B7" s="160"/>
      <c r="C7" s="160"/>
      <c r="D7" s="160"/>
      <c r="E7" s="160"/>
      <c r="F7" s="160"/>
      <c r="G7" s="160"/>
      <c r="H7" s="158" t="str" cm="1">
        <f t="array" ref="H7">_xlfn.IFS(入力シート!$E$8=基本入力データシート!$D$3,基本入力データシート!$F$3,入力シート!$E$8=基本入力データシート!$D$7,基本入力データシート!$F$7,入力シート!$E$8=基本入力データシート!$D$8,基本入力データシート!$F$8,入力シート!$E$8=基本入力データシート!$D$4,基本入力データシート!$F$4,入力シート!$E$8=基本入力データシート!$D$5,基本入力データシート!$F$5,入力シート!$E$8=基本入力データシート!$D$6,基本入力データシート!$F$6)</f>
        <v>株式会社 J 建築検査センター</v>
      </c>
      <c r="I7" s="161"/>
      <c r="J7" s="160"/>
      <c r="K7" s="160"/>
      <c r="L7" s="208"/>
      <c r="M7" s="5"/>
      <c r="P7" s="345" t="s">
        <v>665</v>
      </c>
      <c r="Q7" s="346" t="s">
        <v>881</v>
      </c>
      <c r="R7" s="349"/>
      <c r="S7" s="349"/>
      <c r="T7" s="350"/>
      <c r="U7" s="2"/>
      <c r="V7" s="2"/>
      <c r="W7" s="2"/>
      <c r="X7" s="2"/>
    </row>
    <row r="8" spans="2:24" ht="15" customHeight="1" x14ac:dyDescent="0.15">
      <c r="B8" s="160"/>
      <c r="C8" s="160"/>
      <c r="D8" s="160"/>
      <c r="E8" s="160"/>
      <c r="F8" s="160"/>
      <c r="G8" s="160"/>
      <c r="H8" s="158" t="str" cm="1">
        <f t="array" ref="H8">_xlfn.IFS(入力シート!$E$8=基本入力データシート!$D$3,基本入力データシート!$G$3,入力シート!$E$8=基本入力データシート!$D$7,基本入力データシート!$G$7,入力シート!$E$8=基本入力データシート!$D$8,基本入力データシート!$G$8,入力シート!$E$8=基本入力データシート!$D$4,基本入力データシート!$G$4,入力シート!$E$8=基本入力データシート!$D$5,基本入力データシート!$G$5,入力シート!$E$8=基本入力データシート!$D$6,基本入力データシート!$G$6)</f>
        <v>TEL:03-5464-7778　FAX:03-5464-7779</v>
      </c>
      <c r="I8" s="161"/>
      <c r="J8" s="160"/>
      <c r="K8" s="160"/>
      <c r="L8" s="160"/>
      <c r="P8" s="2"/>
      <c r="Q8" s="2"/>
      <c r="R8" s="2"/>
      <c r="S8" s="2"/>
      <c r="T8" s="2"/>
      <c r="U8" s="2"/>
      <c r="V8" s="2"/>
      <c r="W8" s="2"/>
      <c r="X8" s="2"/>
    </row>
    <row r="9" spans="2:24" ht="15" customHeight="1" x14ac:dyDescent="0.15">
      <c r="B9" s="160"/>
      <c r="C9" s="209" t="s">
        <v>3</v>
      </c>
      <c r="D9" s="160"/>
      <c r="E9" s="160"/>
      <c r="F9" s="160"/>
      <c r="G9" s="160"/>
      <c r="H9" s="160"/>
      <c r="I9" s="161"/>
      <c r="J9" s="160"/>
      <c r="K9" s="160"/>
      <c r="L9" s="160"/>
      <c r="P9" s="1" t="s">
        <v>666</v>
      </c>
      <c r="R9" s="344"/>
      <c r="S9" s="344"/>
      <c r="T9" s="344"/>
      <c r="U9" s="2"/>
      <c r="V9" s="2"/>
      <c r="W9" s="2"/>
      <c r="X9" s="2"/>
    </row>
    <row r="10" spans="2:24" ht="11.25" customHeight="1" x14ac:dyDescent="0.15">
      <c r="B10" s="160"/>
      <c r="C10" s="210"/>
      <c r="D10" s="210"/>
      <c r="E10" s="210"/>
      <c r="F10" s="210"/>
      <c r="G10" s="210"/>
      <c r="H10" s="210"/>
      <c r="I10" s="210"/>
      <c r="J10" s="210"/>
      <c r="K10" s="210"/>
      <c r="L10" s="160"/>
      <c r="P10" s="1" t="s">
        <v>667</v>
      </c>
      <c r="R10" s="351"/>
      <c r="S10" s="351"/>
      <c r="T10" s="351"/>
      <c r="U10" s="2"/>
      <c r="V10" s="2"/>
      <c r="W10" s="2"/>
      <c r="X10" s="2"/>
    </row>
    <row r="11" spans="2:24" s="10" customFormat="1" ht="24" customHeight="1" x14ac:dyDescent="0.15">
      <c r="B11" s="211"/>
      <c r="C11" s="212" t="s">
        <v>7</v>
      </c>
      <c r="D11" s="737">
        <f>+入力シート!$E$10</f>
        <v>0</v>
      </c>
      <c r="E11" s="738"/>
      <c r="F11" s="738"/>
      <c r="G11" s="738"/>
      <c r="H11" s="738"/>
      <c r="I11" s="738"/>
      <c r="J11" s="738"/>
      <c r="K11" s="738"/>
      <c r="L11" s="211"/>
      <c r="P11" s="1" t="s">
        <v>668</v>
      </c>
      <c r="Q11" s="1"/>
      <c r="R11" s="351"/>
      <c r="S11" s="351"/>
      <c r="T11" s="351"/>
      <c r="U11" s="2"/>
      <c r="V11" s="2"/>
      <c r="W11" s="2"/>
      <c r="X11" s="2"/>
    </row>
    <row r="12" spans="2:24" s="10" customFormat="1" ht="24" customHeight="1" x14ac:dyDescent="0.15">
      <c r="B12" s="211"/>
      <c r="C12" s="213" t="s">
        <v>6</v>
      </c>
      <c r="D12" s="163">
        <f>+$K$42</f>
        <v>0</v>
      </c>
      <c r="E12" s="214" t="s">
        <v>14</v>
      </c>
      <c r="F12" s="214"/>
      <c r="G12" s="214"/>
      <c r="H12" s="214"/>
      <c r="I12" s="215"/>
      <c r="J12" s="215"/>
      <c r="K12" s="215"/>
      <c r="L12" s="211"/>
      <c r="P12" s="1" t="s">
        <v>669</v>
      </c>
      <c r="Q12" s="1"/>
      <c r="R12" s="351"/>
      <c r="S12" s="351"/>
      <c r="T12" s="351"/>
      <c r="U12" s="2"/>
      <c r="V12" s="2"/>
      <c r="W12" s="2"/>
      <c r="X12" s="2"/>
    </row>
    <row r="13" spans="2:24" s="2" customFormat="1" ht="15" customHeight="1" x14ac:dyDescent="0.15">
      <c r="B13" s="219"/>
      <c r="C13" s="216" t="s">
        <v>4</v>
      </c>
      <c r="D13" s="217" t="s">
        <v>8</v>
      </c>
      <c r="E13" s="218" t="s">
        <v>5</v>
      </c>
      <c r="F13" s="216"/>
      <c r="G13" s="739"/>
      <c r="H13" s="740"/>
      <c r="I13" s="740"/>
      <c r="J13" s="740"/>
      <c r="K13" s="740"/>
      <c r="L13" s="158"/>
      <c r="P13" s="1" t="s">
        <v>670</v>
      </c>
      <c r="Q13" s="1"/>
      <c r="R13" s="351"/>
      <c r="S13" s="351"/>
      <c r="T13" s="351"/>
    </row>
    <row r="14" spans="2:24" s="2" customFormat="1" ht="15" customHeight="1" x14ac:dyDescent="0.15">
      <c r="B14" s="741" t="s">
        <v>9</v>
      </c>
      <c r="C14" s="741"/>
      <c r="D14" s="741"/>
      <c r="E14" s="741"/>
      <c r="F14" s="741"/>
      <c r="G14" s="741"/>
      <c r="H14" s="222" t="s">
        <v>10</v>
      </c>
      <c r="I14" s="223" t="s">
        <v>0</v>
      </c>
      <c r="J14" s="224" t="s">
        <v>11</v>
      </c>
      <c r="K14" s="742" t="s">
        <v>12</v>
      </c>
      <c r="L14" s="741"/>
      <c r="P14" s="1"/>
      <c r="Q14" s="1"/>
      <c r="R14" s="344"/>
      <c r="S14" s="344"/>
      <c r="T14" s="344"/>
    </row>
    <row r="15" spans="2:24" s="2" customFormat="1" ht="15" customHeight="1" x14ac:dyDescent="0.15">
      <c r="B15" s="220"/>
      <c r="C15" s="164" t="s">
        <v>730</v>
      </c>
      <c r="D15" s="746" t="str">
        <f>+入力シート!$E$12&amp;入力シート!$F$12&amp;入力シート!$G$12</f>
        <v>東京都</v>
      </c>
      <c r="E15" s="738"/>
      <c r="F15" s="738"/>
      <c r="G15" s="738"/>
      <c r="H15" s="747">
        <f>+入力シート!$E$39</f>
        <v>0</v>
      </c>
      <c r="I15" s="748"/>
      <c r="J15" s="748"/>
      <c r="K15" s="505"/>
      <c r="L15" s="506"/>
      <c r="P15" s="1"/>
      <c r="Q15" s="1"/>
      <c r="R15" s="351"/>
      <c r="S15" s="351"/>
      <c r="T15" s="351"/>
    </row>
    <row r="16" spans="2:24" s="2" customFormat="1" ht="15" customHeight="1" x14ac:dyDescent="0.15">
      <c r="B16" s="221"/>
      <c r="C16" s="165" t="s">
        <v>731</v>
      </c>
      <c r="D16" s="167" t="str">
        <f>IF(入力シート!C39="","",入力シート!C39)</f>
        <v/>
      </c>
      <c r="E16" s="189" t="s">
        <v>46</v>
      </c>
      <c r="F16" s="168" t="str">
        <f>IF(入力シート!D39="","",入力シート!D39)</f>
        <v/>
      </c>
      <c r="G16" s="190" t="s">
        <v>17</v>
      </c>
      <c r="H16" s="506" t="s">
        <v>14</v>
      </c>
      <c r="I16" s="191" t="s">
        <v>31</v>
      </c>
      <c r="J16" s="192" t="s">
        <v>30</v>
      </c>
      <c r="K16" s="749" t="str">
        <f>IFERROR(IF(入力シート!$H$39&lt;&gt;"",入力シート!$H$39,""),"")</f>
        <v/>
      </c>
      <c r="L16" s="749"/>
      <c r="P16" s="1"/>
      <c r="Q16" s="1"/>
      <c r="R16" s="344"/>
      <c r="S16" s="344"/>
      <c r="T16" s="344"/>
    </row>
    <row r="17" spans="2:20" s="2" customFormat="1" ht="15" customHeight="1" x14ac:dyDescent="0.15">
      <c r="B17" s="333" t="s">
        <v>39</v>
      </c>
      <c r="C17" s="375" t="s">
        <v>956</v>
      </c>
      <c r="D17" s="188"/>
      <c r="E17" s="226"/>
      <c r="F17" s="226"/>
      <c r="G17" s="226"/>
      <c r="H17" s="169"/>
      <c r="I17" s="4"/>
      <c r="J17" s="28"/>
      <c r="K17" s="24"/>
      <c r="L17" s="12"/>
      <c r="P17" s="1"/>
      <c r="Q17" s="1"/>
      <c r="R17" s="344"/>
      <c r="S17" s="344"/>
      <c r="T17" s="344"/>
    </row>
    <row r="18" spans="2:20" s="2" customFormat="1" ht="15" customHeight="1" x14ac:dyDescent="0.15">
      <c r="B18" s="186"/>
      <c r="C18" s="12"/>
      <c r="D18" s="12"/>
      <c r="E18" s="31"/>
      <c r="F18" s="31"/>
      <c r="G18" s="31"/>
      <c r="H18" s="4"/>
      <c r="I18" s="4"/>
      <c r="J18" s="156"/>
      <c r="K18" s="24"/>
      <c r="L18" s="186"/>
      <c r="P18" s="1"/>
      <c r="Q18" s="1"/>
      <c r="R18" s="351"/>
      <c r="S18" s="351"/>
      <c r="T18" s="351"/>
    </row>
    <row r="19" spans="2:20" s="2" customFormat="1" ht="15" customHeight="1" x14ac:dyDescent="0.15">
      <c r="B19" s="353" t="s">
        <v>13</v>
      </c>
      <c r="C19" s="192" t="s">
        <v>181</v>
      </c>
      <c r="D19" s="12"/>
      <c r="E19" s="31"/>
      <c r="F19" s="31"/>
      <c r="G19" s="31"/>
      <c r="H19" s="4"/>
      <c r="I19" s="4"/>
      <c r="J19" s="28"/>
      <c r="K19" s="24"/>
      <c r="L19" s="12"/>
      <c r="P19" s="1"/>
      <c r="Q19" s="1"/>
      <c r="R19" s="344"/>
      <c r="S19" s="344"/>
      <c r="T19" s="344"/>
    </row>
    <row r="20" spans="2:20" s="2" customFormat="1" ht="15" customHeight="1" x14ac:dyDescent="0.15">
      <c r="B20" s="335" t="s">
        <v>179</v>
      </c>
      <c r="C20" s="225" t="s">
        <v>131</v>
      </c>
      <c r="D20" s="12"/>
      <c r="E20" s="31"/>
      <c r="F20" s="31"/>
      <c r="G20" s="31"/>
      <c r="H20" s="4"/>
      <c r="I20" s="4"/>
      <c r="J20" s="156"/>
      <c r="K20" s="24"/>
      <c r="L20" s="12"/>
      <c r="P20" s="1"/>
      <c r="Q20" s="1"/>
      <c r="R20" s="351"/>
      <c r="S20" s="351"/>
      <c r="T20" s="351"/>
    </row>
    <row r="21" spans="2:20" s="2" customFormat="1" ht="15" customHeight="1" x14ac:dyDescent="0.15">
      <c r="B21" s="185" t="str">
        <f t="shared" ref="B21" si="0">IF($C21="","","・")</f>
        <v/>
      </c>
      <c r="C21" s="757"/>
      <c r="D21" s="773"/>
      <c r="E21" s="779"/>
      <c r="F21" s="779"/>
      <c r="G21" s="780"/>
      <c r="H21" s="174" t="str">
        <f>IF($C21="","",1)</f>
        <v/>
      </c>
      <c r="I21" s="174" t="str">
        <f>IF($C21="","","式")</f>
        <v/>
      </c>
      <c r="J21" s="175" t="str">
        <f>IFERROR(INDEX(省エネ料金表データ!$B$5:$P$24,MATCH($K$16,省エネ料金表データ!$A$5:$A$24,0),MATCH($C21,省エネ料金表データ!$B$4:$P$4,0)),"")</f>
        <v/>
      </c>
      <c r="K21" s="176" t="str">
        <f>IFERROR(+J21*H21,"")</f>
        <v/>
      </c>
      <c r="L21" s="185" t="str">
        <f>IF($C21="","","-")</f>
        <v/>
      </c>
      <c r="P21" s="1"/>
      <c r="Q21" s="1"/>
      <c r="R21" s="344"/>
      <c r="S21" s="344"/>
      <c r="T21" s="344"/>
    </row>
    <row r="22" spans="2:20" s="2" customFormat="1" ht="15" customHeight="1" x14ac:dyDescent="0.15">
      <c r="B22" s="334"/>
      <c r="C22" s="7"/>
      <c r="D22" s="12"/>
      <c r="E22" s="12"/>
      <c r="F22" s="12"/>
      <c r="G22" s="12"/>
      <c r="H22" s="4"/>
      <c r="I22" s="4"/>
      <c r="J22" s="156"/>
      <c r="K22" s="24"/>
    </row>
    <row r="23" spans="2:20" s="2" customFormat="1" ht="15" customHeight="1" x14ac:dyDescent="0.15">
      <c r="B23" s="186"/>
      <c r="C23" s="12"/>
      <c r="D23" s="12"/>
      <c r="E23" s="12"/>
      <c r="F23" s="12"/>
      <c r="G23" s="12"/>
      <c r="H23" s="4"/>
      <c r="I23" s="4"/>
      <c r="J23" s="156"/>
      <c r="K23" s="24"/>
      <c r="L23" s="186"/>
    </row>
    <row r="24" spans="2:20" s="2" customFormat="1" ht="15" customHeight="1" x14ac:dyDescent="0.15">
      <c r="B24" s="335" t="s">
        <v>180</v>
      </c>
      <c r="C24" s="225" t="s">
        <v>90</v>
      </c>
      <c r="D24" s="12"/>
      <c r="E24" s="12"/>
      <c r="F24" s="12"/>
      <c r="G24" s="12"/>
      <c r="H24" s="4"/>
      <c r="I24" s="4"/>
      <c r="J24" s="156"/>
      <c r="K24" s="24"/>
      <c r="L24" s="12"/>
      <c r="P24" s="1"/>
      <c r="Q24" s="1"/>
      <c r="R24" s="351"/>
      <c r="S24" s="351"/>
      <c r="T24" s="351"/>
    </row>
    <row r="25" spans="2:20" s="2" customFormat="1" ht="15" customHeight="1" x14ac:dyDescent="0.15">
      <c r="B25" s="185" t="str">
        <f t="shared" ref="B25" si="1">IF($C25="","","・")</f>
        <v/>
      </c>
      <c r="C25" s="794"/>
      <c r="D25" s="795"/>
      <c r="E25" s="31"/>
      <c r="F25" s="31"/>
      <c r="G25" s="31"/>
      <c r="H25" s="174" t="str">
        <f>IF($C25="","",1)</f>
        <v/>
      </c>
      <c r="I25" s="174" t="str">
        <f>IF($C25="","","式")</f>
        <v/>
      </c>
      <c r="J25" s="175" t="str">
        <f>IFERROR(INDEX(省エネ料金表データ!$R$5:$T$24,MATCH($K$16,省エネ料金表データ!$A$5:$A$24,0),MATCH($C25,省エネ料金表データ!$R$4:$T$4,0)),"")</f>
        <v/>
      </c>
      <c r="K25" s="176" t="str">
        <f>IFERROR(+J25*H25,"")</f>
        <v/>
      </c>
      <c r="L25" s="185" t="str">
        <f>IF($C25="","","-")</f>
        <v/>
      </c>
      <c r="P25" s="1"/>
      <c r="Q25" s="1"/>
      <c r="R25" s="344"/>
      <c r="S25" s="344"/>
      <c r="T25" s="344"/>
    </row>
    <row r="26" spans="2:20" s="2" customFormat="1" ht="15" customHeight="1" x14ac:dyDescent="0.15">
      <c r="B26" s="12"/>
      <c r="C26" s="12"/>
      <c r="D26" s="12"/>
      <c r="E26" s="31"/>
      <c r="F26" s="31"/>
      <c r="G26" s="31"/>
      <c r="H26" s="4"/>
      <c r="I26" s="4"/>
      <c r="J26" s="156"/>
      <c r="K26" s="24"/>
      <c r="L26" s="186"/>
      <c r="N26" s="2" t="s">
        <v>936</v>
      </c>
      <c r="P26" s="1"/>
      <c r="Q26" s="1"/>
      <c r="R26" s="351"/>
      <c r="S26" s="351"/>
      <c r="T26" s="351"/>
    </row>
    <row r="27" spans="2:20" s="2" customFormat="1" ht="15" customHeight="1" x14ac:dyDescent="0.15">
      <c r="B27" s="12"/>
      <c r="C27" s="12"/>
      <c r="D27" s="12"/>
      <c r="E27" s="31"/>
      <c r="F27" s="31"/>
      <c r="G27" s="31"/>
      <c r="H27" s="4"/>
      <c r="I27" s="4"/>
      <c r="J27" s="156"/>
      <c r="K27" s="24"/>
      <c r="L27" s="186"/>
      <c r="P27" s="1"/>
      <c r="Q27" s="1"/>
      <c r="R27" s="351"/>
      <c r="S27" s="351"/>
      <c r="T27" s="351"/>
    </row>
    <row r="28" spans="2:20" s="2" customFormat="1" ht="15" customHeight="1" x14ac:dyDescent="0.15">
      <c r="B28" s="12"/>
      <c r="C28" s="12"/>
      <c r="D28" s="12"/>
      <c r="E28" s="31"/>
      <c r="F28" s="31"/>
      <c r="G28" s="31"/>
      <c r="H28" s="4"/>
      <c r="I28" s="4"/>
      <c r="J28" s="156"/>
      <c r="K28" s="24"/>
      <c r="L28" s="186"/>
      <c r="P28" s="1"/>
      <c r="Q28" s="1"/>
      <c r="R28" s="351"/>
      <c r="S28" s="351"/>
      <c r="T28" s="351"/>
    </row>
    <row r="29" spans="2:20" s="2" customFormat="1" ht="15" customHeight="1" x14ac:dyDescent="0.15">
      <c r="B29" s="335" t="s">
        <v>13</v>
      </c>
      <c r="C29" s="225" t="s">
        <v>132</v>
      </c>
      <c r="D29" s="12"/>
      <c r="E29" s="31"/>
      <c r="F29" s="31"/>
      <c r="G29" s="31"/>
      <c r="H29" s="4"/>
      <c r="I29" s="4"/>
      <c r="J29" s="156"/>
      <c r="K29" s="24"/>
      <c r="L29" s="186"/>
      <c r="P29" s="1"/>
      <c r="Q29" s="1"/>
      <c r="R29" s="344"/>
      <c r="S29" s="344"/>
      <c r="T29" s="344"/>
    </row>
    <row r="30" spans="2:20" s="2" customFormat="1" ht="15" customHeight="1" x14ac:dyDescent="0.15">
      <c r="B30" s="185" t="str">
        <f t="shared" ref="B30:B32" si="2">IF($C30="","","・")</f>
        <v/>
      </c>
      <c r="C30" s="794"/>
      <c r="D30" s="795"/>
      <c r="E30" s="12"/>
      <c r="F30" s="31"/>
      <c r="G30" s="31"/>
      <c r="H30" s="177"/>
      <c r="I30" s="177"/>
      <c r="J30" s="178"/>
      <c r="K30" s="179"/>
      <c r="L30" s="186"/>
      <c r="P30" s="1"/>
      <c r="Q30" s="1"/>
      <c r="R30" s="351"/>
      <c r="S30" s="351"/>
      <c r="T30" s="351"/>
    </row>
    <row r="31" spans="2:20" s="2" customFormat="1" ht="15" customHeight="1" x14ac:dyDescent="0.15">
      <c r="B31" s="185" t="str">
        <f t="shared" si="2"/>
        <v/>
      </c>
      <c r="C31" s="773"/>
      <c r="D31" s="773"/>
      <c r="E31" s="12"/>
      <c r="F31" s="31"/>
      <c r="G31" s="31"/>
      <c r="H31" s="174" t="str">
        <f t="shared" ref="H31" si="3">IF($C31="","",1)</f>
        <v/>
      </c>
      <c r="I31" s="174" t="str">
        <f>IF($C31="","","式")</f>
        <v/>
      </c>
      <c r="J31" s="175" t="str">
        <f>IFERROR(INDEX(省エネ料金表データ!$X$5:$AH$6,MATCH($C$30,省エネ料金表データ!$W$5:$W$6,0),MATCH($C31,省エネ料金表データ!$X$4:$AH$4,0)),"")</f>
        <v/>
      </c>
      <c r="K31" s="176" t="str">
        <f>IFERROR(+J31*H31,"")</f>
        <v/>
      </c>
      <c r="L31" s="185" t="str">
        <f t="shared" ref="L31:L37" si="4">IF($C31="","","-")</f>
        <v/>
      </c>
      <c r="N31" s="2" t="s">
        <v>182</v>
      </c>
      <c r="O31" s="2" t="s">
        <v>715</v>
      </c>
      <c r="P31" s="1"/>
      <c r="Q31" s="1"/>
      <c r="R31" s="351"/>
      <c r="S31" s="351"/>
      <c r="T31" s="351"/>
    </row>
    <row r="32" spans="2:20" s="2" customFormat="1" ht="15" customHeight="1" x14ac:dyDescent="0.15">
      <c r="B32" s="185" t="str">
        <f t="shared" si="2"/>
        <v/>
      </c>
      <c r="C32" s="744" t="str" cm="1">
        <f t="array" ref="C32">+_xlfn.IFS(C31=省エネ料金表データ!X4,"",C31=省エネ料金表データ!Y4,"",C31=省エネ料金表データ!Z4,省エネ料金表データ!AC4,C31=省エネ料金表データ!AA4,省エネ料金表データ!AD4,C31="","")</f>
        <v/>
      </c>
      <c r="D32" s="744"/>
      <c r="E32" s="12"/>
      <c r="F32" s="31"/>
      <c r="G32" s="31"/>
      <c r="H32" s="260" t="str">
        <f>+IF(C32="","",$K$15)</f>
        <v/>
      </c>
      <c r="I32" s="174" t="str">
        <f>IF(C32="","","戸")</f>
        <v/>
      </c>
      <c r="J32" s="175" t="str">
        <f>IFERROR(INDEX(省エネ料金表データ!$X$5:$AH$6,MATCH($C$30,省エネ料金表データ!$W$5:$W$6,0),MATCH($C32,省エネ料金表データ!$X$4:$AH$4,0)),"")</f>
        <v/>
      </c>
      <c r="K32" s="176" t="str">
        <f>IFERROR(+J32*H32,"")</f>
        <v/>
      </c>
      <c r="L32" s="185" t="str">
        <f t="shared" si="4"/>
        <v/>
      </c>
      <c r="P32" s="1"/>
      <c r="Q32" s="1"/>
      <c r="R32" s="351"/>
      <c r="S32" s="351"/>
      <c r="T32" s="351"/>
    </row>
    <row r="33" spans="2:23" s="2" customFormat="1" ht="15" customHeight="1" x14ac:dyDescent="0.15">
      <c r="B33" s="335" t="s">
        <v>738</v>
      </c>
      <c r="C33" s="743" t="s">
        <v>789</v>
      </c>
      <c r="D33" s="769"/>
      <c r="E33" s="769"/>
      <c r="F33" s="769"/>
      <c r="G33" s="770"/>
      <c r="H33" s="4"/>
      <c r="I33" s="4"/>
      <c r="J33" s="156"/>
      <c r="K33" s="24"/>
    </row>
    <row r="34" spans="2:23" s="2" customFormat="1" ht="15" customHeight="1" x14ac:dyDescent="0.15">
      <c r="B34" s="185" t="str">
        <f t="shared" ref="B34" si="5">IF($C34="","","・")</f>
        <v/>
      </c>
      <c r="C34" s="794"/>
      <c r="D34" s="795"/>
      <c r="E34" s="31"/>
      <c r="F34" s="31"/>
      <c r="G34" s="31"/>
      <c r="H34" s="174" t="str">
        <f>IF($C34="","",1)</f>
        <v/>
      </c>
      <c r="I34" s="174" t="str">
        <f>IF($C34="","","式")</f>
        <v/>
      </c>
      <c r="J34" s="175" t="str">
        <f>IFERROR(INDEX(省エネ料金表データ!$X$5:$AH$6,MATCH($C$30,省エネ料金表データ!$W$5:$W$6,0),MATCH($C34,省エネ料金表データ!$X$4:$AH$4,0)),"")</f>
        <v/>
      </c>
      <c r="K34" s="176" t="str">
        <f>IFERROR(+J34*H34,"")</f>
        <v/>
      </c>
      <c r="L34" s="185" t="str">
        <f t="shared" si="4"/>
        <v/>
      </c>
    </row>
    <row r="35" spans="2:23" s="2" customFormat="1" ht="15" customHeight="1" x14ac:dyDescent="0.15">
      <c r="B35" s="335" t="s">
        <v>738</v>
      </c>
      <c r="C35" s="743" t="s">
        <v>800</v>
      </c>
      <c r="D35" s="754"/>
      <c r="E35" s="461"/>
      <c r="F35" s="461"/>
      <c r="G35" s="462"/>
      <c r="H35" s="4"/>
      <c r="I35" s="4"/>
      <c r="J35" s="156"/>
      <c r="K35" s="24"/>
      <c r="L35" s="186"/>
      <c r="P35" s="1"/>
      <c r="Q35" s="1"/>
      <c r="R35" s="344"/>
      <c r="S35" s="344"/>
      <c r="T35" s="344"/>
    </row>
    <row r="36" spans="2:23" s="2" customFormat="1" ht="15" customHeight="1" x14ac:dyDescent="0.15">
      <c r="B36" s="185" t="str">
        <f>IF($C36="","","・")</f>
        <v/>
      </c>
      <c r="C36" s="773"/>
      <c r="D36" s="774"/>
      <c r="E36" s="774"/>
      <c r="F36" s="774"/>
      <c r="G36" s="775"/>
      <c r="H36" s="174" t="str">
        <f>IF($C36="","",1)</f>
        <v/>
      </c>
      <c r="I36" s="174" t="str">
        <f>IF($C36="","","式")</f>
        <v/>
      </c>
      <c r="J36" s="175" t="str">
        <f>IF(C36="","",SUM(K20:K34)*0.2)</f>
        <v/>
      </c>
      <c r="K36" s="176" t="str">
        <f>IFERROR(+J36*H36,"")</f>
        <v/>
      </c>
      <c r="L36" s="185" t="str">
        <f>IF($C36="","","-")</f>
        <v/>
      </c>
    </row>
    <row r="37" spans="2:23" s="2" customFormat="1" ht="15" customHeight="1" x14ac:dyDescent="0.15">
      <c r="B37" s="186"/>
      <c r="C37" s="12"/>
      <c r="D37" s="12"/>
      <c r="E37" s="31"/>
      <c r="F37" s="31"/>
      <c r="G37" s="31"/>
      <c r="H37" s="4" t="str">
        <f t="shared" ref="H37" si="6">IF($C37="","",1)</f>
        <v/>
      </c>
      <c r="I37" s="4" t="str">
        <f>IF($C37="","","式")</f>
        <v/>
      </c>
      <c r="J37" s="156" t="str">
        <f>IFERROR(INDEX(確認申請料金表データ!C$4:Q$33,MATCH($K$16,確認申請料金表データ!B$4:B$33,0),MATCH($C37,確認申請料金表データ!C$3:Q$3,0)),"")</f>
        <v/>
      </c>
      <c r="K37" s="24" t="str">
        <f>IFERROR(+J37*H37,"")</f>
        <v/>
      </c>
      <c r="L37" s="186" t="str">
        <f t="shared" si="4"/>
        <v/>
      </c>
    </row>
    <row r="38" spans="2:23" s="2" customFormat="1" ht="15" customHeight="1" x14ac:dyDescent="0.15">
      <c r="B38" s="336"/>
      <c r="C38" s="336"/>
      <c r="D38" s="336"/>
      <c r="E38" s="336"/>
      <c r="F38" s="336"/>
      <c r="G38" s="336"/>
      <c r="H38" s="766" t="s">
        <v>21</v>
      </c>
      <c r="I38" s="767"/>
      <c r="J38" s="768"/>
      <c r="K38" s="171">
        <f>SUM(K17:K37)</f>
        <v>0</v>
      </c>
      <c r="L38" s="305" t="s">
        <v>1</v>
      </c>
    </row>
    <row r="39" spans="2:23" s="2" customFormat="1" ht="15" customHeight="1" x14ac:dyDescent="0.15">
      <c r="B39" s="334"/>
      <c r="C39" s="7"/>
      <c r="D39" s="12"/>
      <c r="E39" s="31"/>
      <c r="F39" s="31"/>
      <c r="G39" s="31"/>
      <c r="H39" s="177"/>
      <c r="I39" s="177"/>
      <c r="J39" s="178"/>
      <c r="K39" s="179"/>
      <c r="L39" s="12"/>
    </row>
    <row r="40" spans="2:23" s="2" customFormat="1" ht="15" customHeight="1" x14ac:dyDescent="0.15">
      <c r="B40" s="337"/>
      <c r="C40" s="259" t="s">
        <v>37</v>
      </c>
      <c r="D40" s="20"/>
      <c r="E40" s="21"/>
      <c r="F40" s="21"/>
      <c r="G40" s="21"/>
      <c r="H40" s="25"/>
      <c r="I40" s="4"/>
      <c r="J40" s="29"/>
      <c r="K40" s="170">
        <f>K38*0.1</f>
        <v>0</v>
      </c>
      <c r="L40" s="185" t="s">
        <v>14</v>
      </c>
    </row>
    <row r="41" spans="2:23" s="2" customFormat="1" ht="15" customHeight="1" x14ac:dyDescent="0.15">
      <c r="B41" s="338"/>
      <c r="C41" s="248"/>
      <c r="D41" s="15"/>
      <c r="E41" s="249"/>
      <c r="F41" s="249"/>
      <c r="G41" s="249"/>
      <c r="H41" s="250"/>
      <c r="I41" s="250"/>
      <c r="J41" s="251"/>
      <c r="K41" s="252"/>
      <c r="L41" s="15"/>
    </row>
    <row r="42" spans="2:23" s="2" customFormat="1" ht="15" customHeight="1" thickBot="1" x14ac:dyDescent="0.2">
      <c r="C42" s="2" t="s">
        <v>91</v>
      </c>
      <c r="H42" s="758" t="s">
        <v>2</v>
      </c>
      <c r="I42" s="758"/>
      <c r="J42" s="758"/>
      <c r="K42" s="195">
        <f>SUM(K38:K41)</f>
        <v>0</v>
      </c>
      <c r="L42" s="306" t="s">
        <v>1</v>
      </c>
    </row>
    <row r="43" spans="2:23" s="2" customFormat="1" ht="15" customHeight="1" thickTop="1" x14ac:dyDescent="0.15">
      <c r="B43" s="11"/>
      <c r="C43" s="16" t="s">
        <v>783</v>
      </c>
      <c r="I43" s="8"/>
      <c r="J43" s="8"/>
      <c r="K43" s="27"/>
      <c r="L43" s="16"/>
    </row>
    <row r="44" spans="2:23" s="2" customFormat="1" ht="15" customHeight="1" x14ac:dyDescent="0.15">
      <c r="C44" s="16" t="s">
        <v>92</v>
      </c>
    </row>
    <row r="45" spans="2:23" s="2" customFormat="1" ht="15" customHeight="1" x14ac:dyDescent="0.15">
      <c r="C45" s="16" t="s">
        <v>784</v>
      </c>
    </row>
    <row r="46" spans="2:23" s="2" customFormat="1" ht="15" customHeight="1" x14ac:dyDescent="0.15">
      <c r="C46" s="16" t="s">
        <v>785</v>
      </c>
    </row>
    <row r="47" spans="2:23" s="2" customFormat="1" ht="15" customHeight="1" x14ac:dyDescent="0.15">
      <c r="C47" s="16" t="s">
        <v>786</v>
      </c>
      <c r="P47" s="1"/>
      <c r="Q47" s="1"/>
      <c r="R47" s="1"/>
      <c r="S47" s="1"/>
      <c r="T47" s="1"/>
      <c r="U47" s="1"/>
      <c r="V47" s="1"/>
    </row>
    <row r="48" spans="2:23" s="2" customFormat="1" ht="15" customHeight="1" x14ac:dyDescent="0.15">
      <c r="C48" s="16" t="s">
        <v>777</v>
      </c>
      <c r="D48" s="1"/>
      <c r="P48" s="1"/>
      <c r="Q48" s="1"/>
      <c r="R48" s="1"/>
      <c r="S48" s="1"/>
      <c r="T48" s="1"/>
      <c r="U48" s="1"/>
      <c r="V48" s="1"/>
      <c r="W48" s="1"/>
    </row>
    <row r="49" spans="3:12" ht="15" customHeight="1" x14ac:dyDescent="0.15">
      <c r="C49" s="2"/>
      <c r="K49" s="30"/>
    </row>
    <row r="50" spans="3:12" ht="16.5" customHeight="1" x14ac:dyDescent="0.15">
      <c r="L50" s="30" t="s">
        <v>32</v>
      </c>
    </row>
  </sheetData>
  <mergeCells count="20">
    <mergeCell ref="C30:D30"/>
    <mergeCell ref="J2:K2"/>
    <mergeCell ref="C4:F4"/>
    <mergeCell ref="D11:K11"/>
    <mergeCell ref="G13:K13"/>
    <mergeCell ref="B14:G14"/>
    <mergeCell ref="K14:L14"/>
    <mergeCell ref="D15:G15"/>
    <mergeCell ref="H15:J15"/>
    <mergeCell ref="K16:L16"/>
    <mergeCell ref="C21:G21"/>
    <mergeCell ref="C25:D25"/>
    <mergeCell ref="C36:G36"/>
    <mergeCell ref="H38:J38"/>
    <mergeCell ref="H42:J42"/>
    <mergeCell ref="C31:D31"/>
    <mergeCell ref="C32:D32"/>
    <mergeCell ref="C33:G33"/>
    <mergeCell ref="C34:D34"/>
    <mergeCell ref="C35:D35"/>
  </mergeCells>
  <phoneticPr fontId="4"/>
  <printOptions horizontalCentered="1" verticalCentered="1"/>
  <pageMargins left="0.39370078740157483" right="0.39370078740157483" top="0.39370078740157483" bottom="0" header="0" footer="0"/>
  <pageSetup paperSize="9" orientation="portrait" blackAndWhite="1"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r:uid="{DFBB1CEA-3833-4C2D-9E42-759790A4595D}">
          <x14:formula1>
            <xm:f>省エネ料金表データ!$U$4:$V$4</xm:f>
          </x14:formula1>
          <xm:sqref>C36:G36</xm:sqref>
        </x14:dataValidation>
        <x14:dataValidation type="list" allowBlank="1" showInputMessage="1" showErrorMessage="1" xr:uid="{54E6FC5F-1CED-48AB-ACA5-7B4A432300B3}">
          <x14:formula1>
            <xm:f>省エネ料金表データ!$W$4:$AA$4</xm:f>
          </x14:formula1>
          <xm:sqref>C31:D31</xm:sqref>
        </x14:dataValidation>
        <x14:dataValidation type="list" showInputMessage="1" showErrorMessage="1" xr:uid="{6F507121-6A23-4D21-88DF-91317F01BB88}">
          <x14:formula1>
            <xm:f>省エネ料金表データ!$AE$4:$AH$4</xm:f>
          </x14:formula1>
          <xm:sqref>C34:D34</xm:sqref>
        </x14:dataValidation>
        <x14:dataValidation type="list" showInputMessage="1" showErrorMessage="1" xr:uid="{8E538BEA-72D3-406E-B8CB-C4CB7596D821}">
          <x14:formula1>
            <xm:f>省エネ料金表データ!$Q$4:$T$4</xm:f>
          </x14:formula1>
          <xm:sqref>C25</xm:sqref>
        </x14:dataValidation>
        <x14:dataValidation type="list" allowBlank="1" showInputMessage="1" showErrorMessage="1" xr:uid="{19A17F8C-D859-4FDC-B45B-CC7BEF0BF916}">
          <x14:formula1>
            <xm:f>省エネ料金表データ!$A$4:$P$4</xm:f>
          </x14:formula1>
          <xm:sqref>C21:D21 C23</xm:sqref>
        </x14:dataValidation>
        <x14:dataValidation type="list" showInputMessage="1" showErrorMessage="1" xr:uid="{F6C177C9-0D86-40D2-B9D8-D1D829034BA1}">
          <x14:formula1>
            <xm:f>省エネ料金表データ!$W$4:$W$6</xm:f>
          </x14:formula1>
          <xm:sqref>C30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3C87-88E5-4A69-A86F-FC9E7F008A80}">
  <sheetPr>
    <tabColor rgb="FFFFFF00"/>
  </sheetPr>
  <dimension ref="B1:X50"/>
  <sheetViews>
    <sheetView view="pageBreakPreview" topLeftCell="A10" zoomScaleNormal="100" zoomScaleSheetLayoutView="100" workbookViewId="0">
      <selection activeCell="C18" sqref="C18:D18"/>
    </sheetView>
  </sheetViews>
  <sheetFormatPr defaultColWidth="3.625" defaultRowHeight="16.5" customHeight="1" x14ac:dyDescent="0.15"/>
  <cols>
    <col min="1" max="1" width="0.625" style="1" customWidth="1"/>
    <col min="2" max="2" width="2.75" style="1" customWidth="1"/>
    <col min="3" max="3" width="19.625" style="1" customWidth="1"/>
    <col min="4" max="4" width="17.625" style="1" customWidth="1"/>
    <col min="5" max="5" width="5.25" style="1" customWidth="1"/>
    <col min="6" max="6" width="4.75" style="1" customWidth="1"/>
    <col min="7" max="7" width="7.25" style="1" customWidth="1"/>
    <col min="8" max="9" width="4.75" style="1" customWidth="1"/>
    <col min="10" max="10" width="8.75" style="1" customWidth="1"/>
    <col min="11" max="11" width="13.25" style="1" customWidth="1"/>
    <col min="12" max="12" width="2.75" style="1" customWidth="1"/>
    <col min="13" max="13" width="0.625" style="1" customWidth="1"/>
    <col min="14" max="15" width="3.625" style="1"/>
    <col min="16" max="19" width="30.75" style="1" customWidth="1"/>
    <col min="20" max="20" width="33.125" style="1" customWidth="1"/>
    <col min="21" max="16384" width="3.625" style="1"/>
  </cols>
  <sheetData>
    <row r="1" spans="2:24" ht="19.5" customHeight="1" x14ac:dyDescent="0.15">
      <c r="B1" s="204" t="s">
        <v>29</v>
      </c>
      <c r="C1" s="205"/>
      <c r="D1" s="204"/>
      <c r="E1" s="206"/>
      <c r="F1" s="206"/>
      <c r="G1" s="206"/>
      <c r="H1" s="205"/>
      <c r="I1" s="205"/>
      <c r="J1" s="205"/>
      <c r="K1" s="205"/>
      <c r="L1" s="205"/>
    </row>
    <row r="2" spans="2:24" ht="15" customHeight="1" x14ac:dyDescent="0.15">
      <c r="B2" s="160"/>
      <c r="C2" s="160"/>
      <c r="D2" s="160"/>
      <c r="E2" s="207"/>
      <c r="F2" s="207"/>
      <c r="G2" s="207"/>
      <c r="H2" s="207"/>
      <c r="I2" s="207"/>
      <c r="J2" s="733">
        <f ca="1">TODAY()</f>
        <v>45848</v>
      </c>
      <c r="K2" s="733"/>
      <c r="L2" s="207"/>
    </row>
    <row r="3" spans="2:24" ht="15" customHeight="1" x14ac:dyDescent="0.15">
      <c r="B3" s="160"/>
      <c r="C3" s="160"/>
      <c r="D3" s="160"/>
      <c r="E3" s="207"/>
      <c r="F3" s="207"/>
      <c r="G3" s="207"/>
      <c r="H3" s="207"/>
      <c r="I3" s="207"/>
      <c r="J3" s="378"/>
      <c r="K3" s="378"/>
      <c r="L3" s="207"/>
    </row>
    <row r="4" spans="2:24" ht="15" customHeight="1" x14ac:dyDescent="0.15">
      <c r="B4" s="160"/>
      <c r="C4" s="734" t="str">
        <f>+入力シート!E9&amp;"　　"&amp;入力シート!G9</f>
        <v>　　御中</v>
      </c>
      <c r="D4" s="735"/>
      <c r="E4" s="736"/>
      <c r="F4" s="736"/>
      <c r="G4" s="160"/>
      <c r="H4" s="160"/>
      <c r="I4" s="160"/>
      <c r="J4" s="160"/>
      <c r="K4" s="160"/>
      <c r="L4" s="160"/>
      <c r="P4" s="1" t="s">
        <v>660</v>
      </c>
      <c r="R4" s="344"/>
      <c r="S4" s="344"/>
      <c r="T4" s="344"/>
      <c r="U4" s="2"/>
      <c r="V4" s="2"/>
      <c r="W4" s="2"/>
      <c r="X4" s="2"/>
    </row>
    <row r="5" spans="2:24" ht="15" customHeight="1" x14ac:dyDescent="0.15">
      <c r="B5" s="160"/>
      <c r="C5" s="162"/>
      <c r="D5" s="160"/>
      <c r="E5" s="160"/>
      <c r="F5" s="160"/>
      <c r="G5" s="160"/>
      <c r="H5" s="160"/>
      <c r="I5" s="160"/>
      <c r="J5" s="160"/>
      <c r="K5" s="160"/>
      <c r="L5" s="160"/>
      <c r="P5" s="345" t="s">
        <v>661</v>
      </c>
      <c r="Q5" s="346" t="s">
        <v>662</v>
      </c>
      <c r="R5" s="345"/>
      <c r="S5" s="345"/>
      <c r="T5" s="345"/>
      <c r="U5" s="2"/>
      <c r="V5" s="2"/>
      <c r="W5" s="2"/>
      <c r="X5" s="2"/>
    </row>
    <row r="6" spans="2:24" ht="15" customHeight="1" x14ac:dyDescent="0.15">
      <c r="B6" s="160"/>
      <c r="C6" s="160"/>
      <c r="D6" s="160"/>
      <c r="E6" s="160"/>
      <c r="F6" s="160"/>
      <c r="G6" s="160"/>
      <c r="H6" s="158" t="str" cm="1">
        <f t="array" ref="H6">_xlfn.IFS(入力シート!$E$8=基本入力データシート!$D$3,基本入力データシート!$E$3,入力シート!$E$8=基本入力データシート!$D$7,基本入力データシート!$E$7,入力シート!$E$8=基本入力データシート!$D$8,基本入力データシート!$E$8,入力シート!$E$8=基本入力データシート!$D$4,基本入力データシート!$E$4,入力シート!$E$8=基本入力データシート!$D$5,基本入力データシート!$E$5,入力シート!$E$8=基本入力データシート!$D$6,基本入力データシート!$E$6)</f>
        <v>〒150-0002  東京都渋谷区渋谷1-13-9</v>
      </c>
      <c r="I6" s="159"/>
      <c r="J6" s="160"/>
      <c r="K6" s="160"/>
      <c r="L6" s="160"/>
      <c r="P6" s="345" t="s">
        <v>663</v>
      </c>
      <c r="Q6" s="347" t="s">
        <v>664</v>
      </c>
      <c r="R6" s="348"/>
      <c r="S6" s="349"/>
      <c r="T6" s="350"/>
      <c r="U6" s="2"/>
      <c r="V6" s="2"/>
      <c r="W6" s="2"/>
      <c r="X6" s="2"/>
    </row>
    <row r="7" spans="2:24" ht="15" customHeight="1" x14ac:dyDescent="0.15">
      <c r="B7" s="160"/>
      <c r="C7" s="160"/>
      <c r="D7" s="160"/>
      <c r="E7" s="160"/>
      <c r="F7" s="160"/>
      <c r="G7" s="160"/>
      <c r="H7" s="158" t="str" cm="1">
        <f t="array" ref="H7">_xlfn.IFS(入力シート!$E$8=基本入力データシート!$D$3,基本入力データシート!$F$3,入力シート!$E$8=基本入力データシート!$D$7,基本入力データシート!$F$7,入力シート!$E$8=基本入力データシート!$D$8,基本入力データシート!$F$8,入力シート!$E$8=基本入力データシート!$D$4,基本入力データシート!$F$4,入力シート!$E$8=基本入力データシート!$D$5,基本入力データシート!$F$5,入力シート!$E$8=基本入力データシート!$D$6,基本入力データシート!$F$6)</f>
        <v>株式会社 J 建築検査センター</v>
      </c>
      <c r="I7" s="161"/>
      <c r="J7" s="160"/>
      <c r="K7" s="160"/>
      <c r="L7" s="208"/>
      <c r="M7" s="5"/>
      <c r="P7" s="345" t="s">
        <v>665</v>
      </c>
      <c r="Q7" s="346" t="s">
        <v>881</v>
      </c>
      <c r="R7" s="349"/>
      <c r="S7" s="349"/>
      <c r="T7" s="350"/>
      <c r="U7" s="2"/>
      <c r="V7" s="2"/>
      <c r="W7" s="2"/>
      <c r="X7" s="2"/>
    </row>
    <row r="8" spans="2:24" ht="15" customHeight="1" x14ac:dyDescent="0.15">
      <c r="B8" s="160"/>
      <c r="C8" s="160"/>
      <c r="D8" s="160"/>
      <c r="E8" s="160"/>
      <c r="F8" s="160"/>
      <c r="G8" s="160"/>
      <c r="H8" s="158" t="str" cm="1">
        <f t="array" ref="H8">_xlfn.IFS(入力シート!$E$8=基本入力データシート!$D$3,基本入力データシート!$G$3,入力シート!$E$8=基本入力データシート!$D$7,基本入力データシート!$G$7,入力シート!$E$8=基本入力データシート!$D$8,基本入力データシート!$G$8,入力シート!$E$8=基本入力データシート!$D$4,基本入力データシート!$G$4,入力シート!$E$8=基本入力データシート!$D$5,基本入力データシート!$G$5,入力シート!$E$8=基本入力データシート!$D$6,基本入力データシート!$G$6)</f>
        <v>TEL:03-5464-7778　FAX:03-5464-7779</v>
      </c>
      <c r="I8" s="161"/>
      <c r="J8" s="160"/>
      <c r="K8" s="160"/>
      <c r="L8" s="160"/>
      <c r="P8" s="2"/>
      <c r="Q8" s="2"/>
      <c r="R8" s="2"/>
      <c r="S8" s="2"/>
      <c r="T8" s="2"/>
      <c r="U8" s="2"/>
      <c r="V8" s="2"/>
      <c r="W8" s="2"/>
      <c r="X8" s="2"/>
    </row>
    <row r="9" spans="2:24" ht="15" customHeight="1" x14ac:dyDescent="0.15">
      <c r="B9" s="160"/>
      <c r="C9" s="209" t="s">
        <v>3</v>
      </c>
      <c r="D9" s="160"/>
      <c r="E9" s="160"/>
      <c r="F9" s="160"/>
      <c r="G9" s="160"/>
      <c r="H9" s="160"/>
      <c r="I9" s="161"/>
      <c r="J9" s="160"/>
      <c r="K9" s="160"/>
      <c r="L9" s="160"/>
      <c r="P9" s="1" t="s">
        <v>666</v>
      </c>
      <c r="R9" s="344"/>
      <c r="S9" s="344"/>
      <c r="T9" s="344"/>
      <c r="U9" s="2"/>
      <c r="V9" s="2"/>
      <c r="W9" s="2"/>
      <c r="X9" s="2"/>
    </row>
    <row r="10" spans="2:24" ht="11.25" customHeight="1" x14ac:dyDescent="0.15">
      <c r="B10" s="160"/>
      <c r="C10" s="210"/>
      <c r="D10" s="210"/>
      <c r="E10" s="210"/>
      <c r="F10" s="210"/>
      <c r="G10" s="210"/>
      <c r="H10" s="210"/>
      <c r="I10" s="210"/>
      <c r="J10" s="210"/>
      <c r="K10" s="210"/>
      <c r="L10" s="160"/>
      <c r="P10" s="1" t="s">
        <v>667</v>
      </c>
      <c r="R10" s="351"/>
      <c r="S10" s="351"/>
      <c r="T10" s="351"/>
      <c r="U10" s="2"/>
      <c r="V10" s="2"/>
      <c r="W10" s="2"/>
      <c r="X10" s="2"/>
    </row>
    <row r="11" spans="2:24" s="10" customFormat="1" ht="24" customHeight="1" x14ac:dyDescent="0.15">
      <c r="B11" s="211"/>
      <c r="C11" s="212" t="s">
        <v>7</v>
      </c>
      <c r="D11" s="737">
        <f>+入力シート!$E$10</f>
        <v>0</v>
      </c>
      <c r="E11" s="738"/>
      <c r="F11" s="738"/>
      <c r="G11" s="738"/>
      <c r="H11" s="738"/>
      <c r="I11" s="738"/>
      <c r="J11" s="738"/>
      <c r="K11" s="738"/>
      <c r="L11" s="211"/>
      <c r="P11" s="1" t="s">
        <v>668</v>
      </c>
      <c r="Q11" s="1"/>
      <c r="R11" s="351"/>
      <c r="S11" s="351"/>
      <c r="T11" s="351"/>
      <c r="U11" s="2"/>
      <c r="V11" s="2"/>
      <c r="W11" s="2"/>
      <c r="X11" s="2"/>
    </row>
    <row r="12" spans="2:24" s="10" customFormat="1" ht="24" customHeight="1" x14ac:dyDescent="0.15">
      <c r="B12" s="211"/>
      <c r="C12" s="213" t="s">
        <v>6</v>
      </c>
      <c r="D12" s="163">
        <f>+$K$42</f>
        <v>0</v>
      </c>
      <c r="E12" s="214" t="s">
        <v>14</v>
      </c>
      <c r="F12" s="214"/>
      <c r="G12" s="214"/>
      <c r="H12" s="214"/>
      <c r="I12" s="215"/>
      <c r="J12" s="215"/>
      <c r="K12" s="215"/>
      <c r="L12" s="211"/>
      <c r="P12" s="1" t="s">
        <v>669</v>
      </c>
      <c r="Q12" s="1"/>
      <c r="R12" s="351"/>
      <c r="S12" s="351"/>
      <c r="T12" s="351"/>
      <c r="U12" s="2"/>
      <c r="V12" s="2"/>
      <c r="W12" s="2"/>
      <c r="X12" s="2"/>
    </row>
    <row r="13" spans="2:24" s="2" customFormat="1" ht="15" customHeight="1" x14ac:dyDescent="0.15">
      <c r="B13" s="219"/>
      <c r="C13" s="216" t="s">
        <v>4</v>
      </c>
      <c r="D13" s="217" t="s">
        <v>8</v>
      </c>
      <c r="E13" s="218" t="s">
        <v>5</v>
      </c>
      <c r="F13" s="216"/>
      <c r="G13" s="739"/>
      <c r="H13" s="740"/>
      <c r="I13" s="740"/>
      <c r="J13" s="740"/>
      <c r="K13" s="740"/>
      <c r="L13" s="158"/>
      <c r="P13" s="1" t="s">
        <v>670</v>
      </c>
      <c r="Q13" s="1"/>
      <c r="R13" s="351"/>
      <c r="S13" s="351"/>
      <c r="T13" s="351"/>
    </row>
    <row r="14" spans="2:24" s="2" customFormat="1" ht="15" customHeight="1" x14ac:dyDescent="0.15">
      <c r="B14" s="741" t="s">
        <v>9</v>
      </c>
      <c r="C14" s="741"/>
      <c r="D14" s="741"/>
      <c r="E14" s="741"/>
      <c r="F14" s="741"/>
      <c r="G14" s="741"/>
      <c r="H14" s="222" t="s">
        <v>10</v>
      </c>
      <c r="I14" s="223" t="s">
        <v>0</v>
      </c>
      <c r="J14" s="224" t="s">
        <v>11</v>
      </c>
      <c r="K14" s="742" t="s">
        <v>12</v>
      </c>
      <c r="L14" s="741"/>
      <c r="P14" s="1"/>
      <c r="Q14" s="1"/>
      <c r="R14" s="344"/>
      <c r="S14" s="344"/>
      <c r="T14" s="344"/>
    </row>
    <row r="15" spans="2:24" s="2" customFormat="1" ht="15" customHeight="1" x14ac:dyDescent="0.15">
      <c r="B15" s="220"/>
      <c r="C15" s="164" t="s">
        <v>730</v>
      </c>
      <c r="D15" s="746" t="str">
        <f>+入力シート!$E$12&amp;入力シート!$F$12&amp;入力シート!$G$12</f>
        <v>東京都</v>
      </c>
      <c r="E15" s="738"/>
      <c r="F15" s="738"/>
      <c r="G15" s="738"/>
      <c r="H15" s="747">
        <f>+入力シート!$E$41</f>
        <v>0</v>
      </c>
      <c r="I15" s="748"/>
      <c r="J15" s="748"/>
      <c r="K15" s="505"/>
      <c r="L15" s="506"/>
      <c r="P15" s="1"/>
      <c r="Q15" s="1"/>
      <c r="R15" s="351"/>
      <c r="S15" s="351"/>
      <c r="T15" s="351"/>
    </row>
    <row r="16" spans="2:24" s="2" customFormat="1" ht="15" customHeight="1" x14ac:dyDescent="0.15">
      <c r="B16" s="221"/>
      <c r="C16" s="165" t="s">
        <v>731</v>
      </c>
      <c r="D16" s="167" t="str">
        <f>IF(入力シート!C41="","",入力シート!C41)</f>
        <v/>
      </c>
      <c r="E16" s="189" t="s">
        <v>46</v>
      </c>
      <c r="F16" s="168" t="str">
        <f>IF(入力シート!D41="","",入力シート!D41)</f>
        <v/>
      </c>
      <c r="G16" s="190" t="s">
        <v>17</v>
      </c>
      <c r="H16" s="506"/>
      <c r="I16" s="191" t="s">
        <v>31</v>
      </c>
      <c r="J16" s="192" t="s">
        <v>30</v>
      </c>
      <c r="K16" s="749" t="str">
        <f>IFERROR(IF(入力シート!$H$41&lt;&gt;"",入力シート!$H$41,""),"")</f>
        <v/>
      </c>
      <c r="L16" s="750"/>
      <c r="P16" s="1"/>
      <c r="Q16" s="1"/>
      <c r="R16" s="344"/>
      <c r="S16" s="344"/>
      <c r="T16" s="344"/>
    </row>
    <row r="17" spans="2:20" s="2" customFormat="1" ht="15" customHeight="1" x14ac:dyDescent="0.15">
      <c r="B17" s="333" t="s">
        <v>39</v>
      </c>
      <c r="C17" s="375" t="s">
        <v>957</v>
      </c>
      <c r="D17" s="188"/>
      <c r="E17" s="226"/>
      <c r="F17" s="226"/>
      <c r="G17" s="226"/>
      <c r="H17" s="169"/>
      <c r="I17" s="4"/>
      <c r="J17" s="28"/>
      <c r="K17" s="24"/>
      <c r="L17" s="12"/>
      <c r="P17" s="1"/>
      <c r="Q17" s="1"/>
      <c r="R17" s="344"/>
      <c r="S17" s="344"/>
      <c r="T17" s="344"/>
    </row>
    <row r="18" spans="2:20" s="2" customFormat="1" ht="15" customHeight="1" x14ac:dyDescent="0.15">
      <c r="B18" s="186"/>
      <c r="C18" s="12"/>
      <c r="D18" s="12"/>
      <c r="E18" s="31"/>
      <c r="F18" s="31"/>
      <c r="G18" s="31"/>
      <c r="H18" s="4"/>
      <c r="I18" s="4"/>
      <c r="J18" s="156"/>
      <c r="K18" s="24"/>
      <c r="L18" s="186"/>
      <c r="P18" s="1"/>
      <c r="Q18" s="1"/>
      <c r="R18" s="351"/>
      <c r="S18" s="351"/>
      <c r="T18" s="351"/>
    </row>
    <row r="19" spans="2:20" s="2" customFormat="1" ht="15" customHeight="1" x14ac:dyDescent="0.15">
      <c r="B19" s="353" t="s">
        <v>13</v>
      </c>
      <c r="C19" s="192" t="s">
        <v>181</v>
      </c>
      <c r="D19" s="12"/>
      <c r="E19" s="31"/>
      <c r="F19" s="31"/>
      <c r="G19" s="31"/>
      <c r="H19" s="4"/>
      <c r="I19" s="4"/>
      <c r="J19" s="28"/>
      <c r="K19" s="24"/>
      <c r="L19" s="12"/>
      <c r="P19" s="1"/>
      <c r="Q19" s="1"/>
      <c r="R19" s="344"/>
      <c r="S19" s="344"/>
      <c r="T19" s="344"/>
    </row>
    <row r="20" spans="2:20" s="2" customFormat="1" ht="15" customHeight="1" x14ac:dyDescent="0.15">
      <c r="B20" s="335" t="s">
        <v>179</v>
      </c>
      <c r="C20" s="225" t="s">
        <v>131</v>
      </c>
      <c r="D20" s="12"/>
      <c r="E20" s="31"/>
      <c r="F20" s="31"/>
      <c r="G20" s="31"/>
      <c r="H20" s="4"/>
      <c r="I20" s="4"/>
      <c r="J20" s="156"/>
      <c r="K20" s="24"/>
      <c r="L20" s="12"/>
      <c r="P20" s="1"/>
      <c r="Q20" s="1"/>
      <c r="R20" s="351"/>
      <c r="S20" s="351"/>
      <c r="T20" s="351"/>
    </row>
    <row r="21" spans="2:20" s="2" customFormat="1" ht="15" customHeight="1" x14ac:dyDescent="0.15">
      <c r="B21" s="185" t="str">
        <f t="shared" ref="B21" si="0">IF($C21="","","・")</f>
        <v/>
      </c>
      <c r="C21" s="757"/>
      <c r="D21" s="773"/>
      <c r="E21" s="779"/>
      <c r="F21" s="779"/>
      <c r="G21" s="780"/>
      <c r="H21" s="174" t="str">
        <f>IF($C21="","",1)</f>
        <v/>
      </c>
      <c r="I21" s="174" t="str">
        <f>IF($C21="","","式")</f>
        <v/>
      </c>
      <c r="J21" s="175" t="str">
        <f>IFERROR(INDEX(省エネ料金表データ!$B$5:$P$24,MATCH($K$16,省エネ料金表データ!$A$5:$A$24,0),MATCH($C21,省エネ料金表データ!$B$4:$P$4,0)),"")</f>
        <v/>
      </c>
      <c r="K21" s="176" t="str">
        <f>IFERROR(+J21*H21,"")</f>
        <v/>
      </c>
      <c r="L21" s="185" t="str">
        <f>IF($C21="","","-")</f>
        <v/>
      </c>
      <c r="P21" s="1"/>
      <c r="Q21" s="1"/>
      <c r="R21" s="344"/>
      <c r="S21" s="344"/>
      <c r="T21" s="344"/>
    </row>
    <row r="22" spans="2:20" s="2" customFormat="1" ht="15" customHeight="1" x14ac:dyDescent="0.15">
      <c r="B22" s="334"/>
      <c r="C22" s="7"/>
      <c r="D22" s="12"/>
      <c r="E22" s="12"/>
      <c r="F22" s="12"/>
      <c r="G22" s="12"/>
      <c r="H22" s="4"/>
      <c r="I22" s="4"/>
      <c r="J22" s="156"/>
      <c r="K22" s="24"/>
    </row>
    <row r="23" spans="2:20" s="2" customFormat="1" ht="15" customHeight="1" x14ac:dyDescent="0.15">
      <c r="B23" s="186"/>
      <c r="C23" s="12"/>
      <c r="D23" s="12"/>
      <c r="E23" s="12"/>
      <c r="F23" s="12"/>
      <c r="G23" s="12"/>
      <c r="H23" s="4"/>
      <c r="I23" s="4"/>
      <c r="J23" s="156"/>
      <c r="K23" s="24"/>
      <c r="L23" s="186"/>
    </row>
    <row r="24" spans="2:20" s="2" customFormat="1" ht="15" customHeight="1" x14ac:dyDescent="0.15">
      <c r="B24" s="335" t="s">
        <v>180</v>
      </c>
      <c r="C24" s="225" t="s">
        <v>90</v>
      </c>
      <c r="D24" s="12"/>
      <c r="E24" s="12"/>
      <c r="F24" s="12"/>
      <c r="G24" s="12"/>
      <c r="H24" s="4"/>
      <c r="I24" s="4"/>
      <c r="J24" s="156"/>
      <c r="K24" s="24"/>
      <c r="L24" s="12"/>
      <c r="P24" s="1"/>
      <c r="Q24" s="1"/>
      <c r="R24" s="351"/>
      <c r="S24" s="351"/>
      <c r="T24" s="351"/>
    </row>
    <row r="25" spans="2:20" s="2" customFormat="1" ht="15" customHeight="1" x14ac:dyDescent="0.15">
      <c r="B25" s="185" t="str">
        <f t="shared" ref="B25" si="1">IF($C25="","","・")</f>
        <v/>
      </c>
      <c r="C25" s="794"/>
      <c r="D25" s="795"/>
      <c r="E25" s="31"/>
      <c r="F25" s="31"/>
      <c r="G25" s="31"/>
      <c r="H25" s="174" t="str">
        <f>IF($C25="","",1)</f>
        <v/>
      </c>
      <c r="I25" s="174" t="str">
        <f>IF($C25="","","式")</f>
        <v/>
      </c>
      <c r="J25" s="175" t="str">
        <f>IFERROR(INDEX(省エネ料金表データ!$R$5:$T$24,MATCH($K$16,省エネ料金表データ!$A$5:$A$24,0),MATCH($C25,省エネ料金表データ!$R$4:$T$4,0)),"")</f>
        <v/>
      </c>
      <c r="K25" s="176" t="str">
        <f>IFERROR(+J25*H25,"")</f>
        <v/>
      </c>
      <c r="L25" s="185" t="str">
        <f>IF($C25="","","-")</f>
        <v/>
      </c>
      <c r="P25" s="1"/>
      <c r="Q25" s="1"/>
      <c r="R25" s="344"/>
      <c r="S25" s="344"/>
      <c r="T25" s="344"/>
    </row>
    <row r="26" spans="2:20" s="2" customFormat="1" ht="15" customHeight="1" x14ac:dyDescent="0.15">
      <c r="B26" s="12"/>
      <c r="C26" s="12"/>
      <c r="D26" s="12"/>
      <c r="E26" s="31"/>
      <c r="F26" s="31"/>
      <c r="G26" s="31"/>
      <c r="H26" s="4"/>
      <c r="I26" s="4"/>
      <c r="J26" s="156"/>
      <c r="K26" s="24"/>
      <c r="L26" s="186"/>
      <c r="N26" s="2" t="s">
        <v>936</v>
      </c>
      <c r="P26" s="1"/>
      <c r="Q26" s="1"/>
      <c r="R26" s="351"/>
      <c r="S26" s="351"/>
      <c r="T26" s="351"/>
    </row>
    <row r="27" spans="2:20" s="2" customFormat="1" ht="15" customHeight="1" x14ac:dyDescent="0.15">
      <c r="B27" s="12"/>
      <c r="C27" s="12"/>
      <c r="D27" s="12"/>
      <c r="E27" s="31"/>
      <c r="F27" s="31"/>
      <c r="G27" s="31"/>
      <c r="H27" s="4"/>
      <c r="I27" s="4"/>
      <c r="J27" s="156"/>
      <c r="K27" s="24"/>
      <c r="L27" s="186"/>
      <c r="P27" s="1"/>
      <c r="Q27" s="1"/>
      <c r="R27" s="351"/>
      <c r="S27" s="351"/>
      <c r="T27" s="351"/>
    </row>
    <row r="28" spans="2:20" s="2" customFormat="1" ht="15" customHeight="1" x14ac:dyDescent="0.15">
      <c r="B28" s="12"/>
      <c r="C28" s="12"/>
      <c r="D28" s="12"/>
      <c r="E28" s="31"/>
      <c r="F28" s="31"/>
      <c r="G28" s="31"/>
      <c r="H28" s="4"/>
      <c r="I28" s="4"/>
      <c r="J28" s="156"/>
      <c r="K28" s="24"/>
      <c r="L28" s="186"/>
      <c r="P28" s="1"/>
      <c r="Q28" s="1"/>
      <c r="R28" s="351"/>
      <c r="S28" s="351"/>
      <c r="T28" s="351"/>
    </row>
    <row r="29" spans="2:20" s="2" customFormat="1" ht="15" customHeight="1" x14ac:dyDescent="0.15">
      <c r="B29" s="335" t="s">
        <v>13</v>
      </c>
      <c r="C29" s="225" t="s">
        <v>132</v>
      </c>
      <c r="D29" s="12"/>
      <c r="E29" s="31"/>
      <c r="F29" s="31"/>
      <c r="G29" s="31"/>
      <c r="H29" s="4"/>
      <c r="I29" s="4"/>
      <c r="J29" s="156"/>
      <c r="K29" s="24"/>
      <c r="L29" s="186"/>
      <c r="P29" s="1"/>
      <c r="Q29" s="1"/>
      <c r="R29" s="344"/>
      <c r="S29" s="344"/>
      <c r="T29" s="344"/>
    </row>
    <row r="30" spans="2:20" s="2" customFormat="1" ht="15" customHeight="1" x14ac:dyDescent="0.15">
      <c r="B30" s="185" t="str">
        <f t="shared" ref="B30:B32" si="2">IF($C30="","","・")</f>
        <v/>
      </c>
      <c r="C30" s="794"/>
      <c r="D30" s="795"/>
      <c r="E30" s="12"/>
      <c r="F30" s="31"/>
      <c r="G30" s="31"/>
      <c r="H30" s="177"/>
      <c r="I30" s="177"/>
      <c r="J30" s="178"/>
      <c r="K30" s="179"/>
      <c r="L30" s="186"/>
      <c r="P30" s="1"/>
      <c r="Q30" s="1"/>
      <c r="R30" s="351"/>
      <c r="S30" s="351"/>
      <c r="T30" s="351"/>
    </row>
    <row r="31" spans="2:20" s="2" customFormat="1" ht="15" customHeight="1" x14ac:dyDescent="0.15">
      <c r="B31" s="185" t="str">
        <f t="shared" si="2"/>
        <v/>
      </c>
      <c r="C31" s="773"/>
      <c r="D31" s="773"/>
      <c r="E31" s="12"/>
      <c r="F31" s="31"/>
      <c r="G31" s="31"/>
      <c r="H31" s="174" t="str">
        <f t="shared" ref="H31" si="3">IF($C31="","",1)</f>
        <v/>
      </c>
      <c r="I31" s="174" t="str">
        <f>IF($C31="","","式")</f>
        <v/>
      </c>
      <c r="J31" s="175" t="str">
        <f>IFERROR(INDEX(省エネ料金表データ!$X$5:$AH$6,MATCH($C$30,省エネ料金表データ!$W$5:$W$6,0),MATCH($C31,省エネ料金表データ!$X$4:$AH$4,0)),"")</f>
        <v/>
      </c>
      <c r="K31" s="176" t="str">
        <f>IFERROR(+J31*H31,"")</f>
        <v/>
      </c>
      <c r="L31" s="185" t="str">
        <f t="shared" ref="L31:L34" si="4">IF($C31="","","-")</f>
        <v/>
      </c>
      <c r="N31" s="2" t="s">
        <v>182</v>
      </c>
      <c r="O31" s="2" t="s">
        <v>715</v>
      </c>
      <c r="P31" s="1"/>
      <c r="Q31" s="1"/>
      <c r="R31" s="351"/>
      <c r="S31" s="351"/>
      <c r="T31" s="351"/>
    </row>
    <row r="32" spans="2:20" s="2" customFormat="1" ht="15" customHeight="1" x14ac:dyDescent="0.15">
      <c r="B32" s="185" t="str">
        <f t="shared" si="2"/>
        <v/>
      </c>
      <c r="C32" s="744" t="str" cm="1">
        <f t="array" ref="C32">+_xlfn.IFS(C31=省エネ料金表データ!X4,"",C31=省エネ料金表データ!Y4,"",C31=省エネ料金表データ!Z4,省エネ料金表データ!AC4,C31=省エネ料金表データ!AA4,省エネ料金表データ!AD4,C31="","")</f>
        <v/>
      </c>
      <c r="D32" s="744"/>
      <c r="E32" s="12"/>
      <c r="F32" s="31"/>
      <c r="G32" s="31"/>
      <c r="H32" s="260" t="str">
        <f>+IF(C32="","",$K$15)</f>
        <v/>
      </c>
      <c r="I32" s="174" t="str">
        <f>IF(C32="","","戸")</f>
        <v/>
      </c>
      <c r="J32" s="175" t="str">
        <f>IFERROR(INDEX(省エネ料金表データ!$X$5:$AH$6,MATCH($C$30,省エネ料金表データ!$W$5:$W$6,0),MATCH($C32,省エネ料金表データ!$X$4:$AH$4,0)),"")</f>
        <v/>
      </c>
      <c r="K32" s="176" t="str">
        <f>IFERROR(+J32*H32,"")</f>
        <v/>
      </c>
      <c r="L32" s="185" t="str">
        <f t="shared" si="4"/>
        <v/>
      </c>
      <c r="P32" s="1"/>
      <c r="Q32" s="1"/>
      <c r="R32" s="351"/>
      <c r="S32" s="351"/>
      <c r="T32" s="351"/>
    </row>
    <row r="33" spans="2:23" s="2" customFormat="1" ht="15" customHeight="1" x14ac:dyDescent="0.15">
      <c r="B33" s="335" t="s">
        <v>738</v>
      </c>
      <c r="C33" s="743" t="s">
        <v>789</v>
      </c>
      <c r="D33" s="769"/>
      <c r="E33" s="769"/>
      <c r="F33" s="769"/>
      <c r="G33" s="770"/>
      <c r="H33" s="4"/>
      <c r="I33" s="4"/>
      <c r="J33" s="156"/>
      <c r="K33" s="24"/>
    </row>
    <row r="34" spans="2:23" s="2" customFormat="1" ht="15" customHeight="1" x14ac:dyDescent="0.15">
      <c r="B34" s="185" t="str">
        <f t="shared" ref="B34" si="5">IF($C34="","","・")</f>
        <v/>
      </c>
      <c r="C34" s="794"/>
      <c r="D34" s="795"/>
      <c r="E34" s="31"/>
      <c r="F34" s="31"/>
      <c r="G34" s="31"/>
      <c r="H34" s="174" t="str">
        <f>IF($C34="","",1)</f>
        <v/>
      </c>
      <c r="I34" s="174" t="str">
        <f>IF($C34="","","式")</f>
        <v/>
      </c>
      <c r="J34" s="175" t="str">
        <f>IFERROR(INDEX(省エネ料金表データ!$X$5:$AH$6,MATCH($C$30,省エネ料金表データ!$W$5:$W$6,0),MATCH($C34,省エネ料金表データ!$X$4:$AH$4,0)),"")</f>
        <v/>
      </c>
      <c r="K34" s="176" t="str">
        <f>IFERROR(+J34*H34,"")</f>
        <v/>
      </c>
      <c r="L34" s="185" t="str">
        <f t="shared" si="4"/>
        <v/>
      </c>
    </row>
    <row r="35" spans="2:23" s="2" customFormat="1" ht="15" customHeight="1" x14ac:dyDescent="0.15">
      <c r="B35" s="335" t="s">
        <v>738</v>
      </c>
      <c r="C35" s="743" t="s">
        <v>800</v>
      </c>
      <c r="D35" s="754"/>
      <c r="E35" s="461"/>
      <c r="F35" s="461"/>
      <c r="G35" s="462"/>
      <c r="H35" s="4"/>
      <c r="I35" s="4"/>
      <c r="J35" s="156"/>
      <c r="K35" s="24"/>
      <c r="L35" s="186"/>
      <c r="P35" s="1"/>
      <c r="Q35" s="1"/>
      <c r="R35" s="344"/>
      <c r="S35" s="344"/>
      <c r="T35" s="344"/>
    </row>
    <row r="36" spans="2:23" s="2" customFormat="1" ht="15" customHeight="1" x14ac:dyDescent="0.15">
      <c r="B36" s="185" t="str">
        <f>IF($C36="","","・")</f>
        <v/>
      </c>
      <c r="C36" s="773"/>
      <c r="D36" s="774"/>
      <c r="E36" s="774"/>
      <c r="F36" s="774"/>
      <c r="G36" s="775"/>
      <c r="H36" s="174" t="str">
        <f>IF($C36="","",1)</f>
        <v/>
      </c>
      <c r="I36" s="174" t="str">
        <f>IF($C36="","","式")</f>
        <v/>
      </c>
      <c r="J36" s="175" t="str">
        <f>IF(C36="","",SUM(K20:K34)*0.2)</f>
        <v/>
      </c>
      <c r="K36" s="176" t="str">
        <f>IFERROR(+J36*H36,"")</f>
        <v/>
      </c>
      <c r="L36" s="185" t="str">
        <f>IF($C36="","","-")</f>
        <v/>
      </c>
    </row>
    <row r="37" spans="2:23" s="2" customFormat="1" ht="15" customHeight="1" x14ac:dyDescent="0.15">
      <c r="B37" s="334"/>
      <c r="C37" s="7"/>
      <c r="D37" s="12"/>
      <c r="E37" s="31"/>
      <c r="F37" s="31"/>
      <c r="G37" s="31"/>
      <c r="H37" s="4"/>
      <c r="I37" s="4"/>
      <c r="J37" s="156"/>
      <c r="K37" s="24"/>
    </row>
    <row r="38" spans="2:23" s="2" customFormat="1" ht="15" customHeight="1" x14ac:dyDescent="0.15">
      <c r="B38" s="336"/>
      <c r="C38" s="336"/>
      <c r="D38" s="336"/>
      <c r="E38" s="336"/>
      <c r="F38" s="336"/>
      <c r="G38" s="336"/>
      <c r="H38" s="766" t="s">
        <v>21</v>
      </c>
      <c r="I38" s="767"/>
      <c r="J38" s="768"/>
      <c r="K38" s="171">
        <f>SUM(K17:K37)</f>
        <v>0</v>
      </c>
      <c r="L38" s="305" t="s">
        <v>1</v>
      </c>
    </row>
    <row r="39" spans="2:23" s="2" customFormat="1" ht="15" customHeight="1" x14ac:dyDescent="0.15">
      <c r="B39" s="334"/>
      <c r="C39" s="7"/>
      <c r="D39" s="12"/>
      <c r="E39" s="31"/>
      <c r="F39" s="31"/>
      <c r="G39" s="31"/>
      <c r="H39" s="177"/>
      <c r="I39" s="177"/>
      <c r="J39" s="178"/>
      <c r="K39" s="179"/>
      <c r="L39" s="12"/>
    </row>
    <row r="40" spans="2:23" s="2" customFormat="1" ht="15" customHeight="1" x14ac:dyDescent="0.15">
      <c r="B40" s="337"/>
      <c r="C40" s="259" t="s">
        <v>37</v>
      </c>
      <c r="D40" s="20"/>
      <c r="E40" s="21"/>
      <c r="F40" s="21"/>
      <c r="G40" s="21"/>
      <c r="H40" s="25"/>
      <c r="I40" s="4"/>
      <c r="J40" s="29"/>
      <c r="K40" s="170">
        <f>K38*0.1</f>
        <v>0</v>
      </c>
      <c r="L40" s="185" t="s">
        <v>14</v>
      </c>
    </row>
    <row r="41" spans="2:23" s="2" customFormat="1" ht="15" customHeight="1" x14ac:dyDescent="0.15">
      <c r="B41" s="338"/>
      <c r="C41" s="248"/>
      <c r="D41" s="15"/>
      <c r="E41" s="249"/>
      <c r="F41" s="249"/>
      <c r="G41" s="249"/>
      <c r="H41" s="250"/>
      <c r="I41" s="250"/>
      <c r="J41" s="251"/>
      <c r="K41" s="252"/>
      <c r="L41" s="15"/>
    </row>
    <row r="42" spans="2:23" s="2" customFormat="1" ht="15" customHeight="1" thickBot="1" x14ac:dyDescent="0.2">
      <c r="C42" s="2" t="s">
        <v>91</v>
      </c>
      <c r="H42" s="758" t="s">
        <v>2</v>
      </c>
      <c r="I42" s="758"/>
      <c r="J42" s="758"/>
      <c r="K42" s="195">
        <f>SUM(K38:K41)</f>
        <v>0</v>
      </c>
      <c r="L42" s="306" t="s">
        <v>1</v>
      </c>
    </row>
    <row r="43" spans="2:23" s="2" customFormat="1" ht="15" customHeight="1" thickTop="1" x14ac:dyDescent="0.15">
      <c r="B43" s="11"/>
      <c r="C43" s="16" t="s">
        <v>783</v>
      </c>
      <c r="I43" s="8"/>
      <c r="J43" s="8"/>
      <c r="K43" s="27"/>
      <c r="L43" s="16"/>
    </row>
    <row r="44" spans="2:23" s="2" customFormat="1" ht="15" customHeight="1" x14ac:dyDescent="0.15">
      <c r="C44" s="16" t="s">
        <v>92</v>
      </c>
    </row>
    <row r="45" spans="2:23" s="2" customFormat="1" ht="15" customHeight="1" x14ac:dyDescent="0.15">
      <c r="C45" s="16" t="s">
        <v>784</v>
      </c>
    </row>
    <row r="46" spans="2:23" s="2" customFormat="1" ht="15" customHeight="1" x14ac:dyDescent="0.15">
      <c r="C46" s="16" t="s">
        <v>785</v>
      </c>
    </row>
    <row r="47" spans="2:23" s="2" customFormat="1" ht="15" customHeight="1" x14ac:dyDescent="0.15">
      <c r="C47" s="16" t="s">
        <v>786</v>
      </c>
      <c r="P47" s="1"/>
      <c r="Q47" s="1"/>
      <c r="R47" s="1"/>
      <c r="S47" s="1"/>
      <c r="T47" s="1"/>
      <c r="U47" s="1"/>
      <c r="V47" s="1"/>
    </row>
    <row r="48" spans="2:23" s="2" customFormat="1" ht="15" customHeight="1" x14ac:dyDescent="0.15">
      <c r="C48" s="16" t="s">
        <v>777</v>
      </c>
      <c r="D48" s="1"/>
      <c r="P48" s="1"/>
      <c r="Q48" s="1"/>
      <c r="R48" s="1"/>
      <c r="S48" s="1"/>
      <c r="T48" s="1"/>
      <c r="U48" s="1"/>
      <c r="V48" s="1"/>
      <c r="W48" s="1"/>
    </row>
    <row r="49" spans="3:12" ht="15" customHeight="1" x14ac:dyDescent="0.15">
      <c r="C49" s="2"/>
      <c r="K49" s="30"/>
    </row>
    <row r="50" spans="3:12" ht="16.5" customHeight="1" x14ac:dyDescent="0.15">
      <c r="L50" s="30" t="s">
        <v>32</v>
      </c>
    </row>
  </sheetData>
  <mergeCells count="20">
    <mergeCell ref="C30:D30"/>
    <mergeCell ref="J2:K2"/>
    <mergeCell ref="C4:F4"/>
    <mergeCell ref="D11:K11"/>
    <mergeCell ref="G13:K13"/>
    <mergeCell ref="B14:G14"/>
    <mergeCell ref="K14:L14"/>
    <mergeCell ref="D15:G15"/>
    <mergeCell ref="H15:J15"/>
    <mergeCell ref="K16:L16"/>
    <mergeCell ref="C21:G21"/>
    <mergeCell ref="C25:D25"/>
    <mergeCell ref="C36:G36"/>
    <mergeCell ref="H38:J38"/>
    <mergeCell ref="H42:J42"/>
    <mergeCell ref="C31:D31"/>
    <mergeCell ref="C32:D32"/>
    <mergeCell ref="C33:G33"/>
    <mergeCell ref="C34:D34"/>
    <mergeCell ref="C35:D35"/>
  </mergeCells>
  <phoneticPr fontId="4"/>
  <printOptions horizontalCentered="1" verticalCentered="1"/>
  <pageMargins left="0.39370078740157483" right="0.39370078740157483" top="0.39370078740157483" bottom="0" header="0" footer="0"/>
  <pageSetup paperSize="9" orientation="portrait" blackAndWhite="1" r:id="rId1"/>
  <headerFooter alignWithMargins="0"/>
  <extLst>
    <ext xmlns:x14="http://schemas.microsoft.com/office/spreadsheetml/2009/9/main" uri="{CCE6A557-97BC-4b89-ADB6-D9C93CAAB3DF}">
      <x14:dataValidations xmlns:xm="http://schemas.microsoft.com/office/excel/2006/main" count="6">
        <x14:dataValidation type="list" showInputMessage="1" showErrorMessage="1" xr:uid="{50D162AC-D89A-458F-B0AF-FCF164AD1313}">
          <x14:formula1>
            <xm:f>省エネ料金表データ!$W$4:$W$6</xm:f>
          </x14:formula1>
          <xm:sqref>C30</xm:sqref>
        </x14:dataValidation>
        <x14:dataValidation type="list" allowBlank="1" showInputMessage="1" showErrorMessage="1" xr:uid="{DD7BC68D-363F-4298-A29D-016BD879D1F3}">
          <x14:formula1>
            <xm:f>省エネ料金表データ!$A$4:$P$4</xm:f>
          </x14:formula1>
          <xm:sqref>C21:D21 C23</xm:sqref>
        </x14:dataValidation>
        <x14:dataValidation type="list" showInputMessage="1" showErrorMessage="1" xr:uid="{1C16F713-EC3D-44C8-8BE9-1C56602B35EF}">
          <x14:formula1>
            <xm:f>省エネ料金表データ!$Q$4:$T$4</xm:f>
          </x14:formula1>
          <xm:sqref>C25</xm:sqref>
        </x14:dataValidation>
        <x14:dataValidation type="list" showInputMessage="1" showErrorMessage="1" xr:uid="{70067EAC-2DC8-4A1F-A232-1AAAB57DBCC3}">
          <x14:formula1>
            <xm:f>省エネ料金表データ!$AE$4:$AH$4</xm:f>
          </x14:formula1>
          <xm:sqref>C34:D34</xm:sqref>
        </x14:dataValidation>
        <x14:dataValidation type="list" allowBlank="1" showInputMessage="1" showErrorMessage="1" xr:uid="{717BB66B-0582-417A-843E-22429B0B6EB4}">
          <x14:formula1>
            <xm:f>省エネ料金表データ!$W$4:$AA$4</xm:f>
          </x14:formula1>
          <xm:sqref>C31:D31</xm:sqref>
        </x14:dataValidation>
        <x14:dataValidation type="list" allowBlank="1" showInputMessage="1" showErrorMessage="1" xr:uid="{A329F307-317C-4663-BACA-30EC22F89E18}">
          <x14:formula1>
            <xm:f>省エネ料金表データ!$U$4:$V$4</xm:f>
          </x14:formula1>
          <xm:sqref>C36:G36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552C5-E5C6-4BDD-9A94-44CD1A266543}">
  <sheetPr>
    <tabColor rgb="FFFFFF00"/>
  </sheetPr>
  <dimension ref="B1:O59"/>
  <sheetViews>
    <sheetView view="pageBreakPreview" topLeftCell="A16" zoomScaleNormal="100" zoomScaleSheetLayoutView="100" workbookViewId="0">
      <selection activeCell="C18" sqref="C18:D18"/>
    </sheetView>
  </sheetViews>
  <sheetFormatPr defaultColWidth="3.625" defaultRowHeight="16.5" customHeight="1" x14ac:dyDescent="0.15"/>
  <cols>
    <col min="1" max="1" width="0.625" style="1" customWidth="1"/>
    <col min="2" max="2" width="2.75" style="1" customWidth="1"/>
    <col min="3" max="3" width="19.625" style="1" customWidth="1"/>
    <col min="4" max="4" width="17.625" style="1" customWidth="1"/>
    <col min="5" max="5" width="5.25" style="1" customWidth="1"/>
    <col min="6" max="6" width="4.75" style="1" customWidth="1"/>
    <col min="7" max="7" width="7.25" style="1" customWidth="1"/>
    <col min="8" max="9" width="4.75" style="1" customWidth="1"/>
    <col min="10" max="10" width="8.75" style="1" customWidth="1"/>
    <col min="11" max="11" width="13.25" style="1" customWidth="1"/>
    <col min="12" max="12" width="2.75" style="1" customWidth="1"/>
    <col min="13" max="13" width="0.625" style="1" customWidth="1"/>
    <col min="14" max="16384" width="3.625" style="1"/>
  </cols>
  <sheetData>
    <row r="1" spans="2:15" ht="19.5" customHeight="1" x14ac:dyDescent="0.15">
      <c r="B1" s="204" t="s">
        <v>29</v>
      </c>
      <c r="C1" s="205"/>
      <c r="D1" s="204"/>
      <c r="E1" s="206"/>
      <c r="F1" s="206"/>
      <c r="G1" s="206"/>
      <c r="H1" s="205"/>
      <c r="I1" s="205"/>
      <c r="J1" s="205"/>
      <c r="K1" s="205"/>
      <c r="L1" s="205"/>
    </row>
    <row r="2" spans="2:15" ht="15" customHeight="1" x14ac:dyDescent="0.15">
      <c r="B2" s="160"/>
      <c r="C2" s="160"/>
      <c r="D2" s="160"/>
      <c r="E2" s="207"/>
      <c r="F2" s="207"/>
      <c r="G2" s="207"/>
      <c r="H2" s="207"/>
      <c r="I2" s="207"/>
      <c r="J2" s="733">
        <f ca="1">TODAY()</f>
        <v>45848</v>
      </c>
      <c r="K2" s="733"/>
      <c r="L2" s="207"/>
    </row>
    <row r="3" spans="2:15" ht="15" customHeight="1" x14ac:dyDescent="0.15">
      <c r="B3" s="160"/>
      <c r="C3" s="160"/>
      <c r="D3" s="160"/>
      <c r="E3" s="207"/>
      <c r="F3" s="207"/>
      <c r="G3" s="207"/>
      <c r="H3" s="207"/>
      <c r="I3" s="207"/>
      <c r="J3" s="378"/>
      <c r="K3" s="378"/>
      <c r="L3" s="207"/>
    </row>
    <row r="4" spans="2:15" ht="15" customHeight="1" x14ac:dyDescent="0.15">
      <c r="B4" s="160"/>
      <c r="C4" s="734" t="str">
        <f>+入力シート!E9&amp;"　　"&amp;入力シート!G9</f>
        <v>　　御中</v>
      </c>
      <c r="D4" s="735"/>
      <c r="E4" s="736"/>
      <c r="F4" s="736"/>
      <c r="G4" s="160"/>
      <c r="H4" s="160"/>
      <c r="I4" s="160"/>
      <c r="J4" s="160"/>
      <c r="K4" s="160"/>
      <c r="L4" s="160"/>
    </row>
    <row r="5" spans="2:15" ht="15" customHeight="1" x14ac:dyDescent="0.15">
      <c r="B5" s="160"/>
      <c r="C5" s="162"/>
      <c r="D5" s="160"/>
      <c r="E5" s="160"/>
      <c r="F5" s="160"/>
      <c r="G5" s="160"/>
      <c r="H5" s="160"/>
      <c r="I5" s="160"/>
      <c r="J5" s="160"/>
      <c r="K5" s="160"/>
      <c r="L5" s="160"/>
    </row>
    <row r="6" spans="2:15" ht="15" customHeight="1" x14ac:dyDescent="0.15">
      <c r="B6" s="160"/>
      <c r="C6" s="160"/>
      <c r="D6" s="160"/>
      <c r="E6" s="160"/>
      <c r="F6" s="160"/>
      <c r="G6" s="160"/>
      <c r="H6" s="158" t="str" cm="1">
        <f t="array" ref="H6">_xlfn.IFS(入力シート!$E$8=基本入力データシート!$D$3,基本入力データシート!$E$3,入力シート!$E$8=基本入力データシート!$D$7,基本入力データシート!$E$7,入力シート!$E$8=基本入力データシート!$D$8,基本入力データシート!$E$8,入力シート!$E$8=基本入力データシート!$D$4,基本入力データシート!$E$4,入力シート!$E$8=基本入力データシート!$D$5,基本入力データシート!$E$5,入力シート!$E$8=基本入力データシート!$D$6,基本入力データシート!$E$6)</f>
        <v>〒150-0002  東京都渋谷区渋谷1-13-9</v>
      </c>
      <c r="I6" s="159"/>
      <c r="J6" s="160"/>
      <c r="K6" s="160"/>
      <c r="L6" s="160"/>
    </row>
    <row r="7" spans="2:15" ht="15" customHeight="1" x14ac:dyDescent="0.15">
      <c r="B7" s="160"/>
      <c r="C7" s="160"/>
      <c r="D7" s="160"/>
      <c r="E7" s="160"/>
      <c r="F7" s="160"/>
      <c r="G7" s="160"/>
      <c r="H7" s="158" t="str" cm="1">
        <f t="array" ref="H7">_xlfn.IFS(入力シート!$E$8=基本入力データシート!$D$3,基本入力データシート!$F$3,入力シート!$E$8=基本入力データシート!$D$7,基本入力データシート!$F$7,入力シート!$E$8=基本入力データシート!$D$8,基本入力データシート!$F$8,入力シート!$E$8=基本入力データシート!$D$4,基本入力データシート!$F$4,入力シート!$E$8=基本入力データシート!$D$5,基本入力データシート!$F$5,入力シート!$E$8=基本入力データシート!$D$6,基本入力データシート!$F$6)</f>
        <v>株式会社 J 建築検査センター</v>
      </c>
      <c r="I7" s="161"/>
      <c r="J7" s="160"/>
      <c r="K7" s="160"/>
      <c r="L7" s="208"/>
      <c r="M7" s="5"/>
    </row>
    <row r="8" spans="2:15" ht="15" customHeight="1" x14ac:dyDescent="0.15">
      <c r="B8" s="160"/>
      <c r="C8" s="160"/>
      <c r="D8" s="160"/>
      <c r="E8" s="160"/>
      <c r="F8" s="160"/>
      <c r="G8" s="160"/>
      <c r="H8" s="158" t="str" cm="1">
        <f t="array" ref="H8">_xlfn.IFS(入力シート!$E$8=基本入力データシート!$D$3,基本入力データシート!$G$3,入力シート!$E$8=基本入力データシート!$D$7,基本入力データシート!$G$7,入力シート!$E$8=基本入力データシート!$D$8,基本入力データシート!$G$8,入力シート!$E$8=基本入力データシート!$D$4,基本入力データシート!$G$4,入力シート!$E$8=基本入力データシート!$D$5,基本入力データシート!$G$5,入力シート!$E$8=基本入力データシート!$D$6,基本入力データシート!$G$6)</f>
        <v>TEL:03-5464-7778　FAX:03-5464-7779</v>
      </c>
      <c r="I8" s="161"/>
      <c r="J8" s="160"/>
      <c r="K8" s="160"/>
      <c r="L8" s="160"/>
    </row>
    <row r="9" spans="2:15" ht="15" customHeight="1" x14ac:dyDescent="0.15">
      <c r="B9" s="160"/>
      <c r="C9" s="209" t="s">
        <v>3</v>
      </c>
      <c r="D9" s="160"/>
      <c r="E9" s="160"/>
      <c r="F9" s="160"/>
      <c r="G9" s="160"/>
      <c r="H9" s="160"/>
      <c r="I9" s="161"/>
      <c r="J9" s="160"/>
      <c r="K9" s="160"/>
      <c r="L9" s="160"/>
    </row>
    <row r="10" spans="2:15" ht="11.25" customHeight="1" x14ac:dyDescent="0.15">
      <c r="B10" s="160"/>
      <c r="C10" s="210"/>
      <c r="D10" s="210"/>
      <c r="E10" s="210"/>
      <c r="F10" s="210"/>
      <c r="G10" s="210"/>
      <c r="H10" s="210"/>
      <c r="I10" s="210"/>
      <c r="J10" s="210"/>
      <c r="K10" s="210"/>
      <c r="L10" s="160"/>
    </row>
    <row r="11" spans="2:15" s="10" customFormat="1" ht="24" customHeight="1" x14ac:dyDescent="0.15">
      <c r="B11" s="211"/>
      <c r="C11" s="212" t="s">
        <v>7</v>
      </c>
      <c r="D11" s="737">
        <f>+入力シート!E10</f>
        <v>0</v>
      </c>
      <c r="E11" s="738"/>
      <c r="F11" s="738"/>
      <c r="G11" s="738"/>
      <c r="H11" s="738"/>
      <c r="I11" s="738"/>
      <c r="J11" s="738"/>
      <c r="K11" s="738"/>
      <c r="L11" s="211"/>
    </row>
    <row r="12" spans="2:15" s="10" customFormat="1" ht="24" customHeight="1" x14ac:dyDescent="0.15">
      <c r="B12" s="211"/>
      <c r="C12" s="213" t="s">
        <v>6</v>
      </c>
      <c r="D12" s="163">
        <f>+K42</f>
        <v>0</v>
      </c>
      <c r="E12" s="214" t="s">
        <v>14</v>
      </c>
      <c r="F12" s="214"/>
      <c r="G12" s="214"/>
      <c r="H12" s="214"/>
      <c r="I12" s="215"/>
      <c r="J12" s="215"/>
      <c r="K12" s="215"/>
      <c r="L12" s="211"/>
    </row>
    <row r="13" spans="2:15" s="2" customFormat="1" ht="15" customHeight="1" x14ac:dyDescent="0.15">
      <c r="B13" s="219"/>
      <c r="C13" s="216" t="s">
        <v>4</v>
      </c>
      <c r="D13" s="217" t="s">
        <v>8</v>
      </c>
      <c r="E13" s="218" t="s">
        <v>5</v>
      </c>
      <c r="F13" s="216"/>
      <c r="G13" s="739"/>
      <c r="H13" s="740"/>
      <c r="I13" s="740"/>
      <c r="J13" s="740"/>
      <c r="K13" s="740"/>
      <c r="L13" s="158"/>
      <c r="O13" s="10"/>
    </row>
    <row r="14" spans="2:15" s="2" customFormat="1" ht="15" customHeight="1" x14ac:dyDescent="0.15">
      <c r="B14" s="741" t="s">
        <v>9</v>
      </c>
      <c r="C14" s="741"/>
      <c r="D14" s="741"/>
      <c r="E14" s="741"/>
      <c r="F14" s="741"/>
      <c r="G14" s="741"/>
      <c r="H14" s="222" t="s">
        <v>10</v>
      </c>
      <c r="I14" s="223" t="s">
        <v>0</v>
      </c>
      <c r="J14" s="224" t="s">
        <v>11</v>
      </c>
      <c r="K14" s="742" t="s">
        <v>12</v>
      </c>
      <c r="L14" s="741"/>
      <c r="O14" s="10"/>
    </row>
    <row r="15" spans="2:15" s="2" customFormat="1" ht="15" customHeight="1" x14ac:dyDescent="0.15">
      <c r="B15" s="339"/>
      <c r="C15" s="164" t="s">
        <v>28</v>
      </c>
      <c r="D15" s="746" t="str">
        <f>+入力シート!$E$12&amp;入力シート!$F$12&amp;入力シート!$G$12</f>
        <v>東京都</v>
      </c>
      <c r="E15" s="738"/>
      <c r="F15" s="738"/>
      <c r="G15" s="738"/>
      <c r="H15" s="747" t="str">
        <f>+入力シート!E16</f>
        <v>一戸建ての住宅</v>
      </c>
      <c r="I15" s="748"/>
      <c r="J15" s="748"/>
      <c r="K15" s="166" t="str">
        <f>IF(入力シート!F16="","",入力シート!F16)</f>
        <v/>
      </c>
      <c r="L15" s="187" t="str">
        <f>IF(K15="","","戸")</f>
        <v/>
      </c>
      <c r="O15" s="10"/>
    </row>
    <row r="16" spans="2:15" s="2" customFormat="1" ht="15" customHeight="1" x14ac:dyDescent="0.15">
      <c r="B16" s="340"/>
      <c r="C16" s="165" t="s">
        <v>27</v>
      </c>
      <c r="D16" s="167" t="str">
        <f>+入力シート!E14</f>
        <v>木造</v>
      </c>
      <c r="E16" s="189" t="s">
        <v>46</v>
      </c>
      <c r="F16" s="168">
        <f>+入力シート!G14</f>
        <v>2</v>
      </c>
      <c r="G16" s="190" t="s">
        <v>17</v>
      </c>
      <c r="H16" s="187" t="str">
        <f>IF(入力シート!H14="","-",入力シート!H14)</f>
        <v>-</v>
      </c>
      <c r="I16" s="191" t="s">
        <v>31</v>
      </c>
      <c r="J16" s="192" t="s">
        <v>30</v>
      </c>
      <c r="K16" s="749" t="str">
        <f>+入力シート!F14</f>
        <v>0-100㎡以内(3号)</v>
      </c>
      <c r="L16" s="750"/>
      <c r="O16" s="10"/>
    </row>
    <row r="17" spans="2:15" s="2" customFormat="1" ht="15" customHeight="1" x14ac:dyDescent="0.15">
      <c r="B17" s="333" t="s">
        <v>39</v>
      </c>
      <c r="C17" s="375" t="s">
        <v>686</v>
      </c>
      <c r="D17" s="167"/>
      <c r="E17" s="165"/>
      <c r="F17" s="181"/>
      <c r="G17" s="181"/>
      <c r="H17" s="181"/>
      <c r="I17" s="181"/>
      <c r="J17" s="181"/>
      <c r="K17" s="181"/>
      <c r="L17" s="12"/>
      <c r="O17" s="10"/>
    </row>
    <row r="18" spans="2:15" s="2" customFormat="1" ht="15" customHeight="1" x14ac:dyDescent="0.15">
      <c r="B18" s="334"/>
      <c r="C18" s="383"/>
      <c r="D18" s="17"/>
      <c r="E18" s="18"/>
      <c r="F18" s="181"/>
      <c r="G18" s="181"/>
      <c r="H18" s="181"/>
      <c r="I18" s="181"/>
      <c r="J18" s="181"/>
      <c r="K18" s="181"/>
      <c r="L18" s="12"/>
      <c r="O18" s="10"/>
    </row>
    <row r="19" spans="2:15" s="2" customFormat="1" ht="15" customHeight="1" x14ac:dyDescent="0.15">
      <c r="B19" s="335" t="s">
        <v>13</v>
      </c>
      <c r="C19" s="225" t="s">
        <v>714</v>
      </c>
      <c r="D19" s="188"/>
      <c r="E19" s="226"/>
      <c r="F19" s="31"/>
      <c r="G19" s="31"/>
      <c r="H19" s="177"/>
      <c r="I19" s="177"/>
      <c r="J19" s="178"/>
      <c r="K19" s="179"/>
      <c r="L19" s="186"/>
      <c r="O19" s="270"/>
    </row>
    <row r="20" spans="2:15" s="2" customFormat="1" ht="15" customHeight="1" x14ac:dyDescent="0.15">
      <c r="B20" s="185" t="str">
        <f>IF($C20="","","・")</f>
        <v/>
      </c>
      <c r="C20" s="757"/>
      <c r="D20" s="779"/>
      <c r="E20" s="779"/>
      <c r="F20" s="779"/>
      <c r="G20" s="780"/>
      <c r="H20" s="4"/>
      <c r="I20" s="4"/>
      <c r="J20" s="28"/>
      <c r="K20" s="24"/>
      <c r="L20" s="12"/>
      <c r="O20" s="356"/>
    </row>
    <row r="21" spans="2:15" s="2" customFormat="1" ht="15" customHeight="1" x14ac:dyDescent="0.15">
      <c r="B21" s="185" t="str">
        <f>IF($C21="","","・")</f>
        <v/>
      </c>
      <c r="C21" s="743" t="str">
        <f>+IFERROR(_xlfn.XLOOKUP($C$20,適合証明「フラット」!$L$4:$L$27,適合証明「フラット」!$M$4:$M$27),"")</f>
        <v/>
      </c>
      <c r="D21" s="743" t="str">
        <f>IFERROR(INDEX(適合証明「フラット」!$C$4:$I$28,MATCH($C$20,適合証明「フラット」!$B$4:$B$28,0),MATCH($C21,適合証明「フラット」!$C$3:$I$3,0)),"")</f>
        <v/>
      </c>
      <c r="E21" s="743" t="str">
        <f>IFERROR(INDEX(適合証明「フラット」!$C$4:$I$28,MATCH($C$20,適合証明「フラット」!$B$4:$B$28,0),MATCH($C21,適合証明「フラット」!$C$3:$I$3,0)),"")</f>
        <v/>
      </c>
      <c r="F21" s="743" t="str">
        <f>IFERROR(INDEX(適合証明「フラット」!$C$4:$I$28,MATCH($C$20,適合証明「フラット」!$B$4:$B$28,0),MATCH($C21,適合証明「フラット」!$C$3:$I$3,0)),"")</f>
        <v/>
      </c>
      <c r="G21" s="756" t="str">
        <f>IFERROR(INDEX(適合証明「フラット」!$C$4:$I$28,MATCH($C$20,適合証明「フラット」!$B$4:$B$28,0),MATCH($C21,適合証明「フラット」!$C$3:$I$3,0)),"")</f>
        <v/>
      </c>
      <c r="H21" s="260" t="str">
        <f>+IF(J21="","",1)</f>
        <v/>
      </c>
      <c r="I21" s="174" t="str">
        <f>IF(H21="","","式")</f>
        <v/>
      </c>
      <c r="J21" s="269" t="str">
        <f>IFERROR(INDEX(適合証明「フラット」!$C$4:$I$28,MATCH($C$20,適合証明「フラット」!$B$4:$B$28,0),MATCH($C21,適合証明「フラット」!$C$3:$I$3,0)),"")</f>
        <v/>
      </c>
      <c r="K21" s="170" t="str">
        <f>IFERROR(+J21*H21,"")</f>
        <v/>
      </c>
      <c r="L21" s="185" t="str">
        <f>IF($C21="","","-")</f>
        <v/>
      </c>
    </row>
    <row r="22" spans="2:15" s="2" customFormat="1" ht="15" customHeight="1" x14ac:dyDescent="0.15">
      <c r="B22" s="185" t="str">
        <f>IF($C22="","","・")</f>
        <v/>
      </c>
      <c r="C22" s="743" t="str">
        <f>+IFERROR(_xlfn.XLOOKUP($C$20,適合証明「フラット」!$L$4:$L$27,適合証明「フラット」!$N$4:$N$27),"")</f>
        <v/>
      </c>
      <c r="D22" s="743" t="str">
        <f>IFERROR(INDEX(適合証明「フラット」!$C$4:$I$28,MATCH($C$20,適合証明「フラット」!$B$4:$B$28,0),MATCH($C22,適合証明「フラット」!$C$3:$I$3,0)),"")</f>
        <v/>
      </c>
      <c r="E22" s="743" t="str">
        <f>IFERROR(INDEX(適合証明「フラット」!$C$4:$I$28,MATCH($C$20,適合証明「フラット」!$B$4:$B$28,0),MATCH($C22,適合証明「フラット」!$C$3:$I$3,0)),"")</f>
        <v/>
      </c>
      <c r="F22" s="743" t="str">
        <f>IFERROR(INDEX(適合証明「フラット」!$C$4:$I$28,MATCH($C$20,適合証明「フラット」!$B$4:$B$28,0),MATCH($C22,適合証明「フラット」!$C$3:$I$3,0)),"")</f>
        <v/>
      </c>
      <c r="G22" s="756" t="str">
        <f>IFERROR(INDEX(適合証明「フラット」!$C$4:$I$28,MATCH($C$20,適合証明「フラット」!$B$4:$B$28,0),MATCH($C22,適合証明「フラット」!$C$3:$I$3,0)),"")</f>
        <v/>
      </c>
      <c r="H22" s="260" t="str" cm="1">
        <f t="array" ref="H22">+_xlfn.IFS(J22="","",$K$15&lt;&gt;"",$K$15,$K$15="",1)</f>
        <v/>
      </c>
      <c r="I22" s="174" t="str" cm="1">
        <f t="array" ref="I22">_xlfn.IFS(H22="","",H22=1,"式",H22&lt;&gt;"","戸")</f>
        <v/>
      </c>
      <c r="J22" s="175" t="str">
        <f>IFERROR(INDEX(適合証明「フラット」!$C$4:$I$28,MATCH($C$20,適合証明「フラット」!$B$4:$B$28,0),MATCH($C22,適合証明「フラット」!$C$3:$I$3,0)),"")</f>
        <v/>
      </c>
      <c r="K22" s="176" t="str">
        <f>IFERROR(+J22*H22,"")</f>
        <v/>
      </c>
      <c r="L22" s="185" t="str">
        <f>IF($C22="","","-")</f>
        <v/>
      </c>
      <c r="O22" s="270"/>
    </row>
    <row r="23" spans="2:15" s="2" customFormat="1" ht="15" customHeight="1" x14ac:dyDescent="0.15">
      <c r="B23" s="185" t="str">
        <f>IF($C23="","","・")</f>
        <v/>
      </c>
      <c r="C23" s="743" t="str">
        <f>+IFERROR(_xlfn.XLOOKUP($C$20,適合証明「フラット」!$L$4:$L$27,適合証明「フラット」!$O$4:$O$27),"")</f>
        <v/>
      </c>
      <c r="D23" s="743" t="str">
        <f>IFERROR(INDEX(適合証明「フラット」!$C$4:$I$28,MATCH($C$20,適合証明「フラット」!$B$4:$B$28,0),MATCH($C23,適合証明「フラット」!$C$3:$I$3,0)),"")</f>
        <v/>
      </c>
      <c r="E23" s="743" t="str">
        <f>IFERROR(INDEX(適合証明「フラット」!$C$4:$I$28,MATCH($C$20,適合証明「フラット」!$B$4:$B$28,0),MATCH($C23,適合証明「フラット」!$C$3:$I$3,0)),"")</f>
        <v/>
      </c>
      <c r="F23" s="743" t="str">
        <f>IFERROR(INDEX(適合証明「フラット」!$C$4:$I$28,MATCH($C$20,適合証明「フラット」!$B$4:$B$28,0),MATCH($C23,適合証明「フラット」!$C$3:$I$3,0)),"")</f>
        <v/>
      </c>
      <c r="G23" s="756" t="str">
        <f>IFERROR(INDEX(適合証明「フラット」!$C$4:$I$28,MATCH($C$20,適合証明「フラット」!$B$4:$B$28,0),MATCH($C23,適合証明「フラット」!$C$3:$I$3,0)),"")</f>
        <v/>
      </c>
      <c r="H23" s="260" t="str">
        <f>+IF(J23="","",1)</f>
        <v/>
      </c>
      <c r="I23" s="174" t="str">
        <f>IF(H23="","","式")</f>
        <v/>
      </c>
      <c r="J23" s="175" t="str">
        <f>IFERROR(INDEX(適合証明「フラット」!$C$4:$I$28,MATCH($C$20,適合証明「フラット」!$B$4:$B$28,0),MATCH($C23,適合証明「フラット」!$C$3:$I$3,0)),"")</f>
        <v/>
      </c>
      <c r="K23" s="176" t="str">
        <f>IFERROR(+J23*H23,"")</f>
        <v/>
      </c>
      <c r="L23" s="185" t="str">
        <f>IF($C23="","","-")</f>
        <v/>
      </c>
    </row>
    <row r="24" spans="2:15" s="2" customFormat="1" ht="15" customHeight="1" x14ac:dyDescent="0.15">
      <c r="B24" s="185" t="str">
        <f>IF($J24="","","・")</f>
        <v/>
      </c>
      <c r="C24" s="743" t="str">
        <f>+IFERROR(_xlfn.XLOOKUP($C$20,適合証明「フラット」!$L$4:$L$27,適合証明「フラット」!$P$4:$P$27),"")</f>
        <v/>
      </c>
      <c r="D24" s="743" t="str">
        <f>IFERROR(INDEX(適合証明「フラット」!$C$4:$I$28,MATCH($C$20,適合証明「フラット」!$B$4:$B$28,0),MATCH($C24,適合証明「フラット」!$C$3:$I$3,0)),"")</f>
        <v/>
      </c>
      <c r="E24" s="743" t="str">
        <f>IFERROR(INDEX(適合証明「フラット」!$C$4:$I$28,MATCH($C$20,適合証明「フラット」!$B$4:$B$28,0),MATCH($C24,適合証明「フラット」!$C$3:$I$3,0)),"")</f>
        <v/>
      </c>
      <c r="F24" s="743" t="str">
        <f>IFERROR(INDEX(適合証明「フラット」!$C$4:$I$28,MATCH($C$20,適合証明「フラット」!$B$4:$B$28,0),MATCH($C24,適合証明「フラット」!$C$3:$I$3,0)),"")</f>
        <v/>
      </c>
      <c r="G24" s="756" t="str">
        <f>IFERROR(INDEX(適合証明「フラット」!$C$4:$I$28,MATCH($C$20,適合証明「フラット」!$B$4:$B$28,0),MATCH($C24,適合証明「フラット」!$C$3:$I$3,0)),"")</f>
        <v/>
      </c>
      <c r="H24" s="260" t="str" cm="1">
        <f t="array" ref="H24">+_xlfn.IFS(J24="","",$K$15&lt;&gt;"",$K$15,$K$15="",1)</f>
        <v/>
      </c>
      <c r="I24" s="174" t="str" cm="1">
        <f t="array" ref="I24">_xlfn.IFS(H24="","",H24=1,"式",H24&lt;&gt;"","戸")</f>
        <v/>
      </c>
      <c r="J24" s="175" t="str">
        <f>IFERROR(INDEX(適合証明「フラット」!$C$4:$I$28,MATCH($C$20,適合証明「フラット」!$B$4:$B$28,0),MATCH($C24,適合証明「フラット」!$C$3:$I$3,0)),"")</f>
        <v/>
      </c>
      <c r="K24" s="176" t="str">
        <f>IFERROR(+J24*H24,"")</f>
        <v/>
      </c>
      <c r="L24" s="185" t="str">
        <f>IF($J24="","","-")</f>
        <v/>
      </c>
      <c r="N24" s="2" t="s">
        <v>182</v>
      </c>
      <c r="O24" s="270" t="s">
        <v>767</v>
      </c>
    </row>
    <row r="25" spans="2:15" s="2" customFormat="1" ht="15" customHeight="1" x14ac:dyDescent="0.15">
      <c r="B25" s="334"/>
      <c r="C25" s="7"/>
      <c r="D25" s="12"/>
      <c r="E25" s="31"/>
      <c r="F25" s="31"/>
      <c r="G25" s="31"/>
      <c r="H25" s="177"/>
      <c r="I25" s="177"/>
      <c r="J25" s="178"/>
      <c r="K25" s="179"/>
      <c r="L25" s="186"/>
    </row>
    <row r="26" spans="2:15" s="2" customFormat="1" ht="15" customHeight="1" x14ac:dyDescent="0.15">
      <c r="B26" s="334"/>
      <c r="C26" s="7"/>
      <c r="D26" s="12"/>
      <c r="E26" s="31"/>
      <c r="F26" s="31"/>
      <c r="G26" s="31"/>
      <c r="H26" s="177"/>
      <c r="I26" s="177"/>
      <c r="J26" s="178"/>
      <c r="K26" s="179"/>
      <c r="L26" s="186"/>
    </row>
    <row r="27" spans="2:15" s="2" customFormat="1" ht="15" customHeight="1" x14ac:dyDescent="0.15">
      <c r="B27" s="334"/>
      <c r="C27" s="7"/>
      <c r="D27" s="12"/>
      <c r="E27" s="31"/>
      <c r="F27" s="31"/>
      <c r="G27" s="31"/>
      <c r="H27" s="177"/>
      <c r="I27" s="177"/>
      <c r="J27" s="178"/>
      <c r="K27" s="179"/>
      <c r="L27" s="186"/>
    </row>
    <row r="28" spans="2:15" s="2" customFormat="1" ht="15" customHeight="1" x14ac:dyDescent="0.15">
      <c r="B28" s="335" t="s">
        <v>738</v>
      </c>
      <c r="C28" s="188" t="s">
        <v>1122</v>
      </c>
      <c r="D28" s="188"/>
      <c r="E28" s="226"/>
      <c r="F28" s="226"/>
      <c r="G28" s="226"/>
      <c r="H28" s="169"/>
      <c r="I28" s="169"/>
      <c r="J28" s="175"/>
      <c r="K28" s="176"/>
      <c r="L28" s="185"/>
    </row>
    <row r="29" spans="2:15" s="2" customFormat="1" ht="15" customHeight="1" x14ac:dyDescent="0.15">
      <c r="B29" s="185" t="str">
        <f t="shared" ref="B29:B32" si="0">IF($C29="","","・")</f>
        <v/>
      </c>
      <c r="C29" s="757"/>
      <c r="D29" s="773"/>
      <c r="E29" s="773"/>
      <c r="F29" s="773"/>
      <c r="G29" s="785"/>
      <c r="H29" s="174" t="str">
        <f>IF($C29="","",1)</f>
        <v/>
      </c>
      <c r="I29" s="174" t="str">
        <f>IF($C29="","","式")</f>
        <v/>
      </c>
      <c r="J29" s="175" t="str">
        <f>IFERROR(_xlfn.XLOOKUP(C29,適合証明「フラット」!$T$4:$T$8,適合証明「フラット」!$U$4:$U$8),"")</f>
        <v/>
      </c>
      <c r="K29" s="176" t="str">
        <f>IFERROR(+J29*H29,"")</f>
        <v/>
      </c>
      <c r="L29" s="185" t="str">
        <f>IF($C29="","","-")</f>
        <v/>
      </c>
      <c r="N29" s="2" t="s">
        <v>182</v>
      </c>
      <c r="O29" s="2" t="s">
        <v>717</v>
      </c>
    </row>
    <row r="30" spans="2:15" s="2" customFormat="1" ht="15" customHeight="1" x14ac:dyDescent="0.15">
      <c r="B30" s="334"/>
      <c r="C30" s="7"/>
      <c r="D30" s="12"/>
      <c r="E30" s="31"/>
      <c r="F30" s="31"/>
      <c r="G30" s="31"/>
      <c r="H30" s="177"/>
      <c r="I30" s="177"/>
      <c r="J30" s="178"/>
      <c r="K30" s="179"/>
      <c r="L30" s="186"/>
    </row>
    <row r="31" spans="2:15" s="2" customFormat="1" ht="15" customHeight="1" x14ac:dyDescent="0.15">
      <c r="B31" s="335" t="s">
        <v>738</v>
      </c>
      <c r="C31" s="188" t="s">
        <v>1107</v>
      </c>
      <c r="D31" s="188"/>
      <c r="E31" s="226"/>
      <c r="F31" s="226"/>
      <c r="G31" s="226"/>
      <c r="H31" s="177"/>
      <c r="I31" s="177"/>
      <c r="J31" s="178"/>
      <c r="K31" s="179"/>
      <c r="L31" s="186"/>
    </row>
    <row r="32" spans="2:15" s="2" customFormat="1" ht="15" customHeight="1" x14ac:dyDescent="0.15">
      <c r="B32" s="185" t="str">
        <f t="shared" si="0"/>
        <v/>
      </c>
      <c r="C32" s="757"/>
      <c r="D32" s="773"/>
      <c r="E32" s="773"/>
      <c r="F32" s="773"/>
      <c r="G32" s="785"/>
      <c r="H32" s="177"/>
      <c r="I32" s="174" t="str" cm="1">
        <f t="array" ref="I32">_xlfn.IFS(H32="","",H32=1,"式",H32&lt;&gt;"","戸")</f>
        <v/>
      </c>
      <c r="J32" s="175" t="str">
        <f>IFERROR(_xlfn.XLOOKUP(C32,適合証明「フラット」!$T$10:$T$11,適合証明「フラット」!$U$10:$U$11),"")</f>
        <v/>
      </c>
      <c r="K32" s="176" t="str">
        <f t="shared" ref="K32" si="1">IFERROR(+J32*H32,"")</f>
        <v/>
      </c>
      <c r="L32" s="185" t="str">
        <f t="shared" ref="L32" si="2">IF($C32="","","-")</f>
        <v/>
      </c>
      <c r="O32" s="286"/>
    </row>
    <row r="33" spans="2:15" s="2" customFormat="1" ht="15" customHeight="1" x14ac:dyDescent="0.15">
      <c r="B33" s="334"/>
      <c r="C33" s="7"/>
      <c r="D33" s="12"/>
      <c r="E33" s="31"/>
      <c r="F33" s="31"/>
      <c r="G33" s="31"/>
      <c r="H33" s="177"/>
      <c r="I33" s="177"/>
      <c r="J33" s="178"/>
      <c r="K33" s="179"/>
      <c r="L33" s="186"/>
    </row>
    <row r="34" spans="2:15" s="2" customFormat="1" ht="15" customHeight="1" x14ac:dyDescent="0.15">
      <c r="B34" s="334"/>
      <c r="C34" s="7"/>
      <c r="D34" s="12"/>
      <c r="E34" s="31"/>
      <c r="F34" s="31"/>
      <c r="G34" s="31"/>
      <c r="H34" s="177"/>
      <c r="I34" s="177"/>
      <c r="J34" s="178"/>
      <c r="K34" s="179"/>
      <c r="L34" s="186"/>
    </row>
    <row r="35" spans="2:15" s="2" customFormat="1" ht="15" customHeight="1" x14ac:dyDescent="0.15">
      <c r="B35" s="334"/>
      <c r="C35" s="7"/>
      <c r="D35" s="12"/>
      <c r="E35" s="31"/>
      <c r="F35" s="31"/>
      <c r="G35" s="31"/>
      <c r="H35" s="177"/>
      <c r="I35" s="177"/>
      <c r="J35" s="178"/>
      <c r="K35" s="179"/>
      <c r="L35" s="186"/>
      <c r="O35" s="270"/>
    </row>
    <row r="36" spans="2:15" s="2" customFormat="1" ht="15" customHeight="1" x14ac:dyDescent="0.15">
      <c r="B36" s="334"/>
      <c r="C36" s="259" t="s">
        <v>37</v>
      </c>
      <c r="D36" s="20"/>
      <c r="E36" s="21"/>
      <c r="F36" s="21"/>
      <c r="G36" s="21"/>
      <c r="H36" s="25"/>
      <c r="I36" s="4"/>
      <c r="J36" s="29"/>
      <c r="K36" s="170">
        <f>SUM(K19:K35)*0.1</f>
        <v>0</v>
      </c>
      <c r="L36" s="185" t="s">
        <v>14</v>
      </c>
    </row>
    <row r="37" spans="2:15" s="2" customFormat="1" ht="15" customHeight="1" x14ac:dyDescent="0.15">
      <c r="B37" s="334"/>
      <c r="C37" s="7"/>
      <c r="D37" s="12"/>
      <c r="E37" s="31"/>
      <c r="F37" s="31"/>
      <c r="G37" s="31"/>
      <c r="H37" s="177"/>
      <c r="I37" s="177"/>
      <c r="J37" s="178"/>
      <c r="K37" s="179"/>
      <c r="L37" s="186"/>
    </row>
    <row r="38" spans="2:15" s="2" customFormat="1" ht="15" customHeight="1" x14ac:dyDescent="0.15">
      <c r="B38" s="336"/>
      <c r="C38" s="14"/>
      <c r="D38" s="14"/>
      <c r="E38" s="14"/>
      <c r="F38" s="14"/>
      <c r="G38" s="14"/>
      <c r="H38" s="227" t="s">
        <v>21</v>
      </c>
      <c r="I38" s="228"/>
      <c r="J38" s="228"/>
      <c r="K38" s="180">
        <f>SUM(K20:K36)</f>
        <v>0</v>
      </c>
      <c r="L38" s="305" t="s">
        <v>1</v>
      </c>
      <c r="M38" s="158"/>
    </row>
    <row r="39" spans="2:15" s="2" customFormat="1" ht="15" customHeight="1" x14ac:dyDescent="0.15">
      <c r="B39" s="229" t="s">
        <v>13</v>
      </c>
      <c r="C39" s="230" t="s">
        <v>128</v>
      </c>
      <c r="D39" s="231"/>
      <c r="E39" s="231"/>
      <c r="F39" s="231"/>
      <c r="G39" s="231"/>
      <c r="H39" s="229"/>
      <c r="I39" s="232"/>
      <c r="J39" s="233"/>
      <c r="K39" s="233"/>
      <c r="L39" s="232"/>
      <c r="M39" s="158"/>
    </row>
    <row r="40" spans="2:15" s="2" customFormat="1" ht="15" customHeight="1" x14ac:dyDescent="0.15">
      <c r="B40" s="193"/>
      <c r="C40" s="235" t="s">
        <v>127</v>
      </c>
      <c r="D40" s="652" t="str">
        <f>IF(D15="","",基本入力データシート!N3)</f>
        <v>東京都</v>
      </c>
      <c r="E40" s="192"/>
      <c r="F40" s="192"/>
      <c r="G40" s="650"/>
      <c r="H40" s="26"/>
      <c r="I40" s="169" t="s">
        <v>15</v>
      </c>
      <c r="J40" s="268">
        <f>IFERROR(_xlfn.XLOOKUP(基本入力データシート!N3,基本入力データシート!J3:J227,基本入力データシート!K3:K227),"")</f>
        <v>2200</v>
      </c>
      <c r="K40" s="170">
        <f>+H40*J40</f>
        <v>0</v>
      </c>
      <c r="L40" s="185" t="s">
        <v>14</v>
      </c>
    </row>
    <row r="41" spans="2:15" s="2" customFormat="1" ht="15" customHeight="1" x14ac:dyDescent="0.15">
      <c r="B41" s="236"/>
      <c r="C41" s="236"/>
      <c r="D41" s="236"/>
      <c r="E41" s="236"/>
      <c r="F41" s="236"/>
      <c r="G41" s="236"/>
      <c r="H41" s="228" t="s">
        <v>21</v>
      </c>
      <c r="I41" s="228"/>
      <c r="J41" s="234"/>
      <c r="K41" s="194">
        <f>SUM(K40:K40)</f>
        <v>0</v>
      </c>
      <c r="L41" s="305" t="s">
        <v>1</v>
      </c>
    </row>
    <row r="42" spans="2:15" s="2" customFormat="1" ht="15" customHeight="1" thickBot="1" x14ac:dyDescent="0.2">
      <c r="C42" s="2" t="s">
        <v>91</v>
      </c>
      <c r="H42" s="758" t="s">
        <v>2</v>
      </c>
      <c r="I42" s="758"/>
      <c r="J42" s="758"/>
      <c r="K42" s="195">
        <f>K38+K41</f>
        <v>0</v>
      </c>
      <c r="L42" s="306" t="s">
        <v>1</v>
      </c>
    </row>
    <row r="43" spans="2:15" s="2" customFormat="1" ht="15" customHeight="1" thickTop="1" x14ac:dyDescent="0.15">
      <c r="B43" s="11"/>
      <c r="I43" s="8"/>
      <c r="J43" s="8"/>
      <c r="K43" s="27"/>
      <c r="L43" s="16"/>
    </row>
    <row r="44" spans="2:15" s="2" customFormat="1" ht="15" customHeight="1" x14ac:dyDescent="0.15">
      <c r="C44" s="16" t="s">
        <v>779</v>
      </c>
    </row>
    <row r="45" spans="2:15" s="2" customFormat="1" ht="15" customHeight="1" x14ac:dyDescent="0.15">
      <c r="C45" s="16"/>
    </row>
    <row r="46" spans="2:15" s="2" customFormat="1" ht="15" customHeight="1" x14ac:dyDescent="0.15"/>
    <row r="47" spans="2:15" s="2" customFormat="1" ht="15" customHeight="1" x14ac:dyDescent="0.15">
      <c r="C47" s="16"/>
    </row>
    <row r="48" spans="2:15" s="2" customFormat="1" ht="15" customHeight="1" x14ac:dyDescent="0.15">
      <c r="C48" s="16"/>
      <c r="D48" s="1"/>
      <c r="O48" s="16"/>
    </row>
    <row r="49" spans="2:15" ht="15" customHeight="1" x14ac:dyDescent="0.15">
      <c r="C49" s="2"/>
      <c r="K49" s="30"/>
      <c r="O49" s="2"/>
    </row>
    <row r="50" spans="2:15" ht="16.5" customHeight="1" x14ac:dyDescent="0.15">
      <c r="L50" s="30" t="s">
        <v>32</v>
      </c>
    </row>
    <row r="58" spans="2:15" s="9" customFormat="1" ht="16.5" customHeight="1" x14ac:dyDescent="0.15">
      <c r="B58" s="1"/>
      <c r="C58" s="1"/>
      <c r="D58" s="1"/>
      <c r="E58" s="1"/>
      <c r="F58" s="1"/>
      <c r="G58" s="1"/>
      <c r="H58" s="1"/>
      <c r="I58" s="1"/>
      <c r="J58" s="1"/>
      <c r="K58" s="1"/>
      <c r="L58" s="1"/>
    </row>
    <row r="59" spans="2:15" s="9" customFormat="1" ht="16.5" customHeight="1" x14ac:dyDescent="0.15">
      <c r="B59" s="1"/>
      <c r="C59" s="1"/>
      <c r="D59" s="1"/>
      <c r="E59" s="1"/>
      <c r="F59" s="1"/>
      <c r="G59" s="1"/>
      <c r="H59" s="1"/>
      <c r="I59" s="1"/>
      <c r="J59" s="1"/>
      <c r="K59" s="1"/>
      <c r="L59" s="1"/>
    </row>
  </sheetData>
  <mergeCells count="17">
    <mergeCell ref="D15:G15"/>
    <mergeCell ref="K16:L16"/>
    <mergeCell ref="C29:G29"/>
    <mergeCell ref="J2:K2"/>
    <mergeCell ref="D11:K11"/>
    <mergeCell ref="G13:K13"/>
    <mergeCell ref="B14:G14"/>
    <mergeCell ref="K14:L14"/>
    <mergeCell ref="C4:F4"/>
    <mergeCell ref="H15:J15"/>
    <mergeCell ref="H42:J42"/>
    <mergeCell ref="C20:G20"/>
    <mergeCell ref="C21:G21"/>
    <mergeCell ref="C23:G23"/>
    <mergeCell ref="C22:G22"/>
    <mergeCell ref="C24:G24"/>
    <mergeCell ref="C32:G32"/>
  </mergeCells>
  <phoneticPr fontId="4"/>
  <printOptions horizontalCentered="1" verticalCentered="1"/>
  <pageMargins left="0.39370078740157483" right="0.39370078740157483" top="0.39370078740157483" bottom="0" header="0" footer="0"/>
  <pageSetup paperSize="9" orientation="portrait" blackAndWhite="1" r:id="rId1"/>
  <headerFooter alignWithMargins="0"/>
  <extLst>
    <ext xmlns:x14="http://schemas.microsoft.com/office/spreadsheetml/2009/9/main" uri="{CCE6A557-97BC-4b89-ADB6-D9C93CAAB3DF}">
      <x14:dataValidations xmlns:xm="http://schemas.microsoft.com/office/excel/2006/main" count="4">
        <x14:dataValidation type="list" showInputMessage="1" showErrorMessage="1" xr:uid="{E5F7EAB9-51C1-4FAA-855C-B4A5C9859811}">
          <x14:formula1>
            <xm:f>適合証明「フラット」!$B$3:$B$28</xm:f>
          </x14:formula1>
          <xm:sqref>C20:G20</xm:sqref>
        </x14:dataValidation>
        <x14:dataValidation type="list" showInputMessage="1" showErrorMessage="1" xr:uid="{325A2316-4085-4A5B-826F-1695922CBD46}">
          <x14:formula1>
            <xm:f>適合証明「フラット」!$T$9:$T$11</xm:f>
          </x14:formula1>
          <xm:sqref>C32:G32</xm:sqref>
        </x14:dataValidation>
        <x14:dataValidation type="list" allowBlank="1" showInputMessage="1" showErrorMessage="1" xr:uid="{BD27BCE0-372E-42E7-8DB5-21F1B86DB3B8}">
          <x14:formula1>
            <xm:f>適合証明「フラット」!$B$3:$I$3</xm:f>
          </x14:formula1>
          <xm:sqref>C25:C27</xm:sqref>
        </x14:dataValidation>
        <x14:dataValidation type="list" showInputMessage="1" showErrorMessage="1" xr:uid="{5E12C66B-AA93-45E3-B5EE-B3FBFD83AEBC}">
          <x14:formula1>
            <xm:f>適合証明「フラット」!$T$3:$T$8</xm:f>
          </x14:formula1>
          <xm:sqref>C29:G30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41C0D-8248-4732-ABD5-0A2D08BC1A9E}">
  <sheetPr>
    <tabColor rgb="FFFFFF00"/>
  </sheetPr>
  <dimension ref="B1:P59"/>
  <sheetViews>
    <sheetView view="pageBreakPreview" topLeftCell="B7" zoomScaleNormal="100" zoomScaleSheetLayoutView="100" workbookViewId="0">
      <selection activeCell="C18" sqref="C18:D18"/>
    </sheetView>
  </sheetViews>
  <sheetFormatPr defaultColWidth="3.625" defaultRowHeight="16.5" customHeight="1" x14ac:dyDescent="0.15"/>
  <cols>
    <col min="1" max="1" width="0.625" style="1" customWidth="1"/>
    <col min="2" max="2" width="2.75" style="1" customWidth="1"/>
    <col min="3" max="3" width="19.625" style="1" customWidth="1"/>
    <col min="4" max="4" width="17.625" style="1" customWidth="1"/>
    <col min="5" max="5" width="5.25" style="1" customWidth="1"/>
    <col min="6" max="6" width="4.75" style="1" customWidth="1"/>
    <col min="7" max="7" width="7.25" style="1" customWidth="1"/>
    <col min="8" max="9" width="4.75" style="1" customWidth="1"/>
    <col min="10" max="10" width="8.75" style="1" customWidth="1"/>
    <col min="11" max="11" width="13.25" style="1" customWidth="1"/>
    <col min="12" max="12" width="2.75" style="1" customWidth="1"/>
    <col min="13" max="13" width="0.625" style="1" customWidth="1"/>
    <col min="14" max="16384" width="3.625" style="1"/>
  </cols>
  <sheetData>
    <row r="1" spans="2:15" ht="19.5" customHeight="1" x14ac:dyDescent="0.15">
      <c r="B1" s="204" t="s">
        <v>29</v>
      </c>
      <c r="C1" s="205"/>
      <c r="D1" s="204"/>
      <c r="E1" s="206"/>
      <c r="F1" s="206"/>
      <c r="G1" s="206"/>
      <c r="H1" s="205"/>
      <c r="I1" s="205"/>
      <c r="J1" s="205"/>
      <c r="K1" s="205"/>
      <c r="L1" s="205"/>
    </row>
    <row r="2" spans="2:15" ht="15" customHeight="1" x14ac:dyDescent="0.15">
      <c r="B2" s="160"/>
      <c r="C2" s="160"/>
      <c r="D2" s="160"/>
      <c r="E2" s="207"/>
      <c r="F2" s="207"/>
      <c r="G2" s="207"/>
      <c r="H2" s="207"/>
      <c r="I2" s="207"/>
      <c r="J2" s="733">
        <f ca="1">TODAY()</f>
        <v>45848</v>
      </c>
      <c r="K2" s="733"/>
      <c r="L2" s="207"/>
    </row>
    <row r="3" spans="2:15" ht="15" customHeight="1" x14ac:dyDescent="0.15">
      <c r="B3" s="160"/>
      <c r="C3" s="160"/>
      <c r="D3" s="160"/>
      <c r="E3" s="207"/>
      <c r="F3" s="207"/>
      <c r="G3" s="207"/>
      <c r="H3" s="207"/>
      <c r="I3" s="207"/>
      <c r="J3" s="378"/>
      <c r="K3" s="378"/>
      <c r="L3" s="207"/>
    </row>
    <row r="4" spans="2:15" ht="15" customHeight="1" x14ac:dyDescent="0.15">
      <c r="B4" s="160"/>
      <c r="C4" s="734" t="str">
        <f>+入力シート!E9&amp;"　　"&amp;入力シート!G9</f>
        <v>　　御中</v>
      </c>
      <c r="D4" s="735"/>
      <c r="E4" s="736"/>
      <c r="F4" s="736"/>
      <c r="G4" s="160"/>
      <c r="H4" s="160"/>
      <c r="I4" s="160"/>
      <c r="J4" s="160"/>
      <c r="K4" s="160"/>
      <c r="L4" s="160"/>
    </row>
    <row r="5" spans="2:15" ht="15" customHeight="1" x14ac:dyDescent="0.15">
      <c r="B5" s="160"/>
      <c r="C5" s="162"/>
      <c r="D5" s="160"/>
      <c r="E5" s="160"/>
      <c r="F5" s="160"/>
      <c r="G5" s="160"/>
      <c r="H5" s="160"/>
      <c r="I5" s="160"/>
      <c r="J5" s="160"/>
      <c r="K5" s="160"/>
      <c r="L5" s="160"/>
    </row>
    <row r="6" spans="2:15" ht="15" customHeight="1" x14ac:dyDescent="0.15">
      <c r="B6" s="160"/>
      <c r="C6" s="160"/>
      <c r="D6" s="160"/>
      <c r="E6" s="160"/>
      <c r="F6" s="160"/>
      <c r="G6" s="160"/>
      <c r="H6" s="158" t="str" cm="1">
        <f t="array" ref="H6">_xlfn.IFS(入力シート!$E$8=基本入力データシート!$D$3,基本入力データシート!$E$3,入力シート!$E$8=基本入力データシート!$D$7,基本入力データシート!$E$7,入力シート!$E$8=基本入力データシート!$D$8,基本入力データシート!$E$8,入力シート!$E$8=基本入力データシート!$D$4,基本入力データシート!$E$4,入力シート!$E$8=基本入力データシート!$D$5,基本入力データシート!$E$5,入力シート!$E$8=基本入力データシート!$D$6,基本入力データシート!$E$6)</f>
        <v>〒150-0002  東京都渋谷区渋谷1-13-9</v>
      </c>
      <c r="I6" s="159"/>
      <c r="J6" s="160"/>
      <c r="K6" s="160"/>
      <c r="L6" s="160"/>
    </row>
    <row r="7" spans="2:15" ht="15" customHeight="1" x14ac:dyDescent="0.15">
      <c r="B7" s="160"/>
      <c r="C7" s="160"/>
      <c r="D7" s="160"/>
      <c r="E7" s="160"/>
      <c r="F7" s="160"/>
      <c r="G7" s="160"/>
      <c r="H7" s="158" t="str" cm="1">
        <f t="array" ref="H7">_xlfn.IFS(入力シート!$E$8=基本入力データシート!$D$3,基本入力データシート!$F$3,入力シート!$E$8=基本入力データシート!$D$7,基本入力データシート!$F$7,入力シート!$E$8=基本入力データシート!$D$8,基本入力データシート!$F$8,入力シート!$E$8=基本入力データシート!$D$4,基本入力データシート!$F$4,入力シート!$E$8=基本入力データシート!$D$5,基本入力データシート!$F$5,入力シート!$E$8=基本入力データシート!$D$6,基本入力データシート!$F$6)</f>
        <v>株式会社 J 建築検査センター</v>
      </c>
      <c r="I7" s="161"/>
      <c r="J7" s="160"/>
      <c r="K7" s="160"/>
      <c r="L7" s="208"/>
      <c r="M7" s="5"/>
    </row>
    <row r="8" spans="2:15" ht="15" customHeight="1" x14ac:dyDescent="0.15">
      <c r="B8" s="160"/>
      <c r="C8" s="160"/>
      <c r="D8" s="160"/>
      <c r="E8" s="160"/>
      <c r="F8" s="160"/>
      <c r="G8" s="160"/>
      <c r="H8" s="158" t="str" cm="1">
        <f t="array" ref="H8">_xlfn.IFS(入力シート!$E$8=基本入力データシート!$D$3,基本入力データシート!$G$3,入力シート!$E$8=基本入力データシート!$D$7,基本入力データシート!$G$7,入力シート!$E$8=基本入力データシート!$D$8,基本入力データシート!$G$8,入力シート!$E$8=基本入力データシート!$D$4,基本入力データシート!$G$4,入力シート!$E$8=基本入力データシート!$D$5,基本入力データシート!$G$5,入力シート!$E$8=基本入力データシート!$D$6,基本入力データシート!$G$6)</f>
        <v>TEL:03-5464-7778　FAX:03-5464-7779</v>
      </c>
      <c r="I8" s="161"/>
      <c r="J8" s="160"/>
      <c r="K8" s="160"/>
      <c r="L8" s="160"/>
    </row>
    <row r="9" spans="2:15" ht="15" customHeight="1" x14ac:dyDescent="0.15">
      <c r="B9" s="160"/>
      <c r="C9" s="209" t="s">
        <v>3</v>
      </c>
      <c r="D9" s="160"/>
      <c r="E9" s="160"/>
      <c r="F9" s="160"/>
      <c r="G9" s="160"/>
      <c r="H9" s="160"/>
      <c r="I9" s="161"/>
      <c r="J9" s="160"/>
      <c r="K9" s="160"/>
      <c r="L9" s="160"/>
    </row>
    <row r="10" spans="2:15" ht="11.25" customHeight="1" x14ac:dyDescent="0.15">
      <c r="B10" s="160"/>
      <c r="C10" s="210"/>
      <c r="D10" s="210"/>
      <c r="E10" s="210"/>
      <c r="F10" s="210"/>
      <c r="G10" s="210"/>
      <c r="H10" s="210"/>
      <c r="I10" s="210"/>
      <c r="J10" s="210"/>
      <c r="K10" s="210"/>
      <c r="L10" s="160"/>
    </row>
    <row r="11" spans="2:15" s="10" customFormat="1" ht="24" customHeight="1" x14ac:dyDescent="0.15">
      <c r="B11" s="211"/>
      <c r="C11" s="212" t="s">
        <v>7</v>
      </c>
      <c r="D11" s="737">
        <f>+入力シート!E10</f>
        <v>0</v>
      </c>
      <c r="E11" s="738"/>
      <c r="F11" s="738"/>
      <c r="G11" s="738"/>
      <c r="H11" s="738"/>
      <c r="I11" s="738"/>
      <c r="J11" s="738"/>
      <c r="K11" s="738"/>
      <c r="L11" s="211"/>
    </row>
    <row r="12" spans="2:15" s="10" customFormat="1" ht="24" customHeight="1" x14ac:dyDescent="0.15">
      <c r="B12" s="211"/>
      <c r="C12" s="213" t="s">
        <v>6</v>
      </c>
      <c r="D12" s="163">
        <f>+K43</f>
        <v>0</v>
      </c>
      <c r="E12" s="214" t="s">
        <v>14</v>
      </c>
      <c r="F12" s="214"/>
      <c r="G12" s="214"/>
      <c r="H12" s="214"/>
      <c r="I12" s="215"/>
      <c r="J12" s="215"/>
      <c r="K12" s="215"/>
      <c r="L12" s="211"/>
    </row>
    <row r="13" spans="2:15" s="2" customFormat="1" ht="15" customHeight="1" x14ac:dyDescent="0.15">
      <c r="B13" s="219"/>
      <c r="C13" s="216" t="s">
        <v>4</v>
      </c>
      <c r="D13" s="217" t="s">
        <v>8</v>
      </c>
      <c r="E13" s="218" t="s">
        <v>5</v>
      </c>
      <c r="F13" s="216"/>
      <c r="G13" s="739"/>
      <c r="H13" s="740"/>
      <c r="I13" s="740"/>
      <c r="J13" s="740"/>
      <c r="K13" s="740"/>
      <c r="L13" s="158"/>
      <c r="O13" s="10"/>
    </row>
    <row r="14" spans="2:15" s="2" customFormat="1" ht="15" customHeight="1" x14ac:dyDescent="0.15">
      <c r="B14" s="741" t="s">
        <v>9</v>
      </c>
      <c r="C14" s="741"/>
      <c r="D14" s="741"/>
      <c r="E14" s="741"/>
      <c r="F14" s="741"/>
      <c r="G14" s="741"/>
      <c r="H14" s="222" t="s">
        <v>10</v>
      </c>
      <c r="I14" s="223" t="s">
        <v>0</v>
      </c>
      <c r="J14" s="224" t="s">
        <v>11</v>
      </c>
      <c r="K14" s="742" t="s">
        <v>12</v>
      </c>
      <c r="L14" s="741"/>
      <c r="O14" s="10"/>
    </row>
    <row r="15" spans="2:15" s="2" customFormat="1" ht="15" customHeight="1" x14ac:dyDescent="0.15">
      <c r="B15" s="220"/>
      <c r="C15" s="164" t="s">
        <v>28</v>
      </c>
      <c r="D15" s="746" t="str">
        <f>+入力シート!$E$12&amp;入力シート!$F$12&amp;入力シート!$G$12</f>
        <v>東京都</v>
      </c>
      <c r="E15" s="738"/>
      <c r="F15" s="738"/>
      <c r="G15" s="738"/>
      <c r="H15" s="747" t="str">
        <f>+入力シート!E16</f>
        <v>一戸建ての住宅</v>
      </c>
      <c r="I15" s="748"/>
      <c r="J15" s="748"/>
      <c r="K15" s="166" t="str">
        <f>IF(入力シート!F16="","",入力シート!F16)</f>
        <v/>
      </c>
      <c r="L15" s="187" t="str">
        <f>IF(K15="","","戸")</f>
        <v/>
      </c>
      <c r="O15" s="10"/>
    </row>
    <row r="16" spans="2:15" s="2" customFormat="1" ht="15" customHeight="1" x14ac:dyDescent="0.15">
      <c r="B16" s="221"/>
      <c r="C16" s="165" t="s">
        <v>27</v>
      </c>
      <c r="D16" s="167" t="str">
        <f>+入力シート!E14</f>
        <v>木造</v>
      </c>
      <c r="E16" s="189" t="s">
        <v>46</v>
      </c>
      <c r="F16" s="168">
        <f>+入力シート!G14</f>
        <v>2</v>
      </c>
      <c r="G16" s="190" t="s">
        <v>17</v>
      </c>
      <c r="H16" s="187" t="str">
        <f>IF(入力シート!H14="","-",入力シート!H14)</f>
        <v>-</v>
      </c>
      <c r="I16" s="191" t="s">
        <v>31</v>
      </c>
      <c r="J16" s="192" t="s">
        <v>30</v>
      </c>
      <c r="K16" s="749" t="str">
        <f>+入力シート!F14</f>
        <v>0-100㎡以内(3号)</v>
      </c>
      <c r="L16" s="750"/>
      <c r="O16" s="10"/>
    </row>
    <row r="17" spans="2:16" s="2" customFormat="1" ht="15" customHeight="1" x14ac:dyDescent="0.15">
      <c r="B17" s="333" t="s">
        <v>39</v>
      </c>
      <c r="C17" s="375" t="s">
        <v>625</v>
      </c>
      <c r="D17" s="188"/>
      <c r="E17" s="31"/>
      <c r="F17" s="31"/>
      <c r="G17" s="13"/>
      <c r="H17" s="4"/>
      <c r="I17" s="4"/>
      <c r="J17" s="28"/>
      <c r="K17" s="24"/>
      <c r="L17" s="12"/>
      <c r="O17" s="500" t="s">
        <v>960</v>
      </c>
    </row>
    <row r="18" spans="2:16" s="2" customFormat="1" ht="15" customHeight="1" x14ac:dyDescent="0.15">
      <c r="B18" s="353" t="s">
        <v>13</v>
      </c>
      <c r="C18" s="192" t="s">
        <v>613</v>
      </c>
      <c r="D18" s="303"/>
      <c r="E18" s="31"/>
      <c r="F18" s="31"/>
      <c r="G18" s="31"/>
      <c r="H18" s="4"/>
      <c r="I18" s="4"/>
      <c r="J18" s="28"/>
      <c r="K18" s="24"/>
      <c r="L18" s="12"/>
    </row>
    <row r="19" spans="2:16" s="2" customFormat="1" ht="15" customHeight="1" x14ac:dyDescent="0.15">
      <c r="B19" s="185" t="str">
        <f t="shared" ref="B19:B35" si="0">IF($C19="","","・")</f>
        <v/>
      </c>
      <c r="C19" s="757"/>
      <c r="D19" s="773"/>
      <c r="E19" s="779"/>
      <c r="F19" s="779"/>
      <c r="G19" s="780"/>
      <c r="H19" s="174" t="str">
        <f>IF($C19="","",1)</f>
        <v/>
      </c>
      <c r="I19" s="174" t="str">
        <f>IF($C19="","","式")</f>
        <v/>
      </c>
      <c r="J19" s="175" t="str">
        <f>IFERROR(_xlfn.XLOOKUP(C19,'住宅性能評価、長期使用'!$A$5:$A$11,'住宅性能評価、長期使用'!$B$5:$B$11),"")</f>
        <v/>
      </c>
      <c r="K19" s="176" t="str">
        <f>IFERROR(+J19*H19,"")</f>
        <v/>
      </c>
      <c r="L19" s="185" t="str">
        <f>IF($C19="","","-")</f>
        <v/>
      </c>
      <c r="N19" s="2" t="s">
        <v>182</v>
      </c>
      <c r="O19" s="270" t="s">
        <v>742</v>
      </c>
    </row>
    <row r="20" spans="2:16" s="2" customFormat="1" ht="15" customHeight="1" x14ac:dyDescent="0.15">
      <c r="B20" s="185" t="str">
        <f t="shared" si="0"/>
        <v/>
      </c>
      <c r="C20" s="743" t="str" cm="1">
        <f t="array" ref="C20">+_xlfn.IFS(OR(C19='住宅性能評価、長期使用'!A5,C19='住宅性能評価、長期使用'!A6,C19='住宅性能評価、長期使用'!A7,C19='住宅性能評価、長期使用'!A8,C19='住宅性能評価、長期使用'!A9),"",C19='住宅性能評価、長期使用'!A10,'住宅性能評価、長期使用'!A14,C19='住宅性能評価、長期使用'!A11,'住宅性能評価、長期使用'!A15,K15="","",K15&gt;=30,'住宅性能評価、長期使用'!A13,K15&lt;=29,"")</f>
        <v/>
      </c>
      <c r="D20" s="744"/>
      <c r="E20" s="776"/>
      <c r="F20" s="776"/>
      <c r="G20" s="777"/>
      <c r="H20" s="174" t="str" cm="1">
        <f t="array" ref="H20">_xlfn.IFS(C20="","",$K$15&lt;&gt;"",$K$15,$K$15="",1)</f>
        <v/>
      </c>
      <c r="I20" s="174" t="str">
        <f>IF($C20="","","戸")</f>
        <v/>
      </c>
      <c r="J20" s="175" t="str">
        <f>IFERROR(_xlfn.XLOOKUP(C20,'住宅性能評価、長期使用'!$A$13:$A$15,'住宅性能評価、長期使用'!$B$13:$B$15),"")</f>
        <v/>
      </c>
      <c r="K20" s="176" t="str">
        <f>IFERROR(+J20*H20,"")</f>
        <v/>
      </c>
      <c r="L20" s="185" t="str">
        <f>IF($C20="","","-")</f>
        <v/>
      </c>
      <c r="O20" s="270"/>
      <c r="P20" s="270"/>
    </row>
    <row r="21" spans="2:16" s="2" customFormat="1" ht="15" customHeight="1" x14ac:dyDescent="0.15">
      <c r="B21" s="353" t="s">
        <v>738</v>
      </c>
      <c r="C21" s="188" t="s">
        <v>768</v>
      </c>
      <c r="D21" s="12"/>
      <c r="E21" s="31"/>
      <c r="F21" s="31"/>
      <c r="G21" s="31"/>
      <c r="H21" s="4"/>
      <c r="I21" s="4"/>
      <c r="J21" s="156"/>
      <c r="K21" s="24"/>
      <c r="L21" s="186"/>
      <c r="O21" s="270"/>
      <c r="P21" s="270"/>
    </row>
    <row r="22" spans="2:16" s="2" customFormat="1" ht="15" customHeight="1" x14ac:dyDescent="0.15">
      <c r="B22" s="185" t="str">
        <f t="shared" ref="B22" si="1">IF($C22="","","・")</f>
        <v/>
      </c>
      <c r="C22" s="743" t="str">
        <f>+IF(基本入力データシート!$M$46=0,"",'住宅性能評価、長期使用'!$E$8)</f>
        <v/>
      </c>
      <c r="D22" s="744"/>
      <c r="E22" s="776"/>
      <c r="F22" s="776"/>
      <c r="G22" s="777"/>
      <c r="H22" s="597" t="str">
        <f>+IF(C22="","",基本入力データシート!$M$46)</f>
        <v/>
      </c>
      <c r="I22" s="174" t="str" cm="1">
        <f t="array" ref="I22">_xlfn.IFS(H22="","",H22=1,"式",H22&gt;2,"項目")</f>
        <v/>
      </c>
      <c r="J22" s="175" t="str">
        <f>IFERROR(_xlfn.XLOOKUP(C22,'住宅性能評価、長期使用'!$E$5:$E$12,'住宅性能評価、長期使用'!$F$5:$F$12),"")</f>
        <v/>
      </c>
      <c r="K22" s="176" t="str">
        <f t="shared" ref="K22" si="2">IFERROR(+J22*H22,"")</f>
        <v/>
      </c>
      <c r="L22" s="185" t="str">
        <f t="shared" ref="L22" si="3">IF($C22="","","-")</f>
        <v/>
      </c>
      <c r="O22" s="270"/>
      <c r="P22" s="270"/>
    </row>
    <row r="23" spans="2:16" s="2" customFormat="1" ht="15" customHeight="1" x14ac:dyDescent="0.15">
      <c r="B23" s="185" t="str">
        <f>IF($C23="","","・")</f>
        <v/>
      </c>
      <c r="C23" s="757"/>
      <c r="D23" s="773"/>
      <c r="E23" s="779"/>
      <c r="F23" s="779"/>
      <c r="G23" s="780"/>
      <c r="H23" s="260" t="str" cm="1">
        <f t="array" ref="H23">+_xlfn.IFS(C23="","",OR(C23='住宅性能評価、長期使用'!$E$11,$K$15=""),1,C23&lt;&gt;"設計住宅性能評価と長期使用構造等確認の併願　30戸未満(一律)「単位:棟」",$K$15)</f>
        <v/>
      </c>
      <c r="I23" s="174" t="str" cm="1">
        <f t="array" ref="I23">_xlfn.IFS(H23="","",H23=1,"式",H23&gt;2,"戸")</f>
        <v/>
      </c>
      <c r="J23" s="175" t="str">
        <f>IFERROR(_xlfn.XLOOKUP(C23,'住宅性能評価、長期使用'!$E$5:$E$12,'住宅性能評価、長期使用'!$F$5:$F$12),"")</f>
        <v/>
      </c>
      <c r="K23" s="176" t="str">
        <f t="shared" ref="K23:K28" si="4">IFERROR(+J23*H23,"")</f>
        <v/>
      </c>
      <c r="L23" s="185" t="str">
        <f>IF($C23="","","-")</f>
        <v/>
      </c>
      <c r="O23" s="270"/>
      <c r="P23" s="270"/>
    </row>
    <row r="24" spans="2:16" s="2" customFormat="1" ht="15" customHeight="1" x14ac:dyDescent="0.15">
      <c r="B24" s="185" t="str">
        <f>IF($C24="","","・")</f>
        <v/>
      </c>
      <c r="C24" s="757"/>
      <c r="D24" s="773"/>
      <c r="E24" s="779"/>
      <c r="F24" s="779"/>
      <c r="G24" s="780"/>
      <c r="H24" s="260" t="str" cm="1">
        <f t="array" ref="H24">+_xlfn.IFS(C24="","",OR(C24='住宅性能評価、長期使用'!$E$11,$K$15=""),1,C24&lt;&gt;"設計住宅性能評価と長期使用構造等確認の併願　30戸未満(一律)「単位:棟」",$K$15)</f>
        <v/>
      </c>
      <c r="I24" s="174" t="str" cm="1">
        <f t="array" ref="I24">_xlfn.IFS(H24="","",H24=1,"式",H24&gt;2,"戸")</f>
        <v/>
      </c>
      <c r="J24" s="175" t="str">
        <f>IFERROR(_xlfn.XLOOKUP(C24,'住宅性能評価、長期使用'!$E$5:$E$12,'住宅性能評価、長期使用'!$F$5:$F$12),"")</f>
        <v/>
      </c>
      <c r="K24" s="176" t="str">
        <f t="shared" si="4"/>
        <v/>
      </c>
      <c r="L24" s="185" t="str">
        <f>IF($C24="","","-")</f>
        <v/>
      </c>
      <c r="O24" s="270"/>
      <c r="P24" s="270"/>
    </row>
    <row r="25" spans="2:16" s="2" customFormat="1" ht="15" customHeight="1" x14ac:dyDescent="0.15">
      <c r="B25" s="185" t="str">
        <f t="shared" si="0"/>
        <v/>
      </c>
      <c r="C25" s="757"/>
      <c r="D25" s="773"/>
      <c r="E25" s="779"/>
      <c r="F25" s="779"/>
      <c r="G25" s="780"/>
      <c r="H25" s="260" t="str" cm="1">
        <f t="array" ref="H25">+_xlfn.IFS(C25="","",OR(C25='住宅性能評価、長期使用'!$E$11,$K$15=""),1,C25&lt;&gt;"設計住宅性能評価と長期使用構造等確認の併願　30戸未満(一律)「単位:棟」",$K$15)</f>
        <v/>
      </c>
      <c r="I25" s="174" t="str" cm="1">
        <f t="array" ref="I25">_xlfn.IFS(H25="","",H25=1,"式",H25&gt;2,"戸")</f>
        <v/>
      </c>
      <c r="J25" s="175" t="str">
        <f>IFERROR(_xlfn.XLOOKUP(C25,'住宅性能評価、長期使用'!$E$5:$E$12,'住宅性能評価、長期使用'!$F$5:$F$12),"")</f>
        <v/>
      </c>
      <c r="K25" s="176" t="str">
        <f t="shared" ref="K25" si="5">IFERROR(+J25*H25,"")</f>
        <v/>
      </c>
      <c r="L25" s="185" t="str">
        <f t="shared" ref="L25:L28" si="6">IF($C25="","","-")</f>
        <v/>
      </c>
      <c r="O25" s="270"/>
      <c r="P25" s="270"/>
    </row>
    <row r="26" spans="2:16" s="2" customFormat="1" ht="15" customHeight="1" x14ac:dyDescent="0.15">
      <c r="B26" s="185" t="str">
        <f t="shared" si="0"/>
        <v/>
      </c>
      <c r="C26" s="757"/>
      <c r="D26" s="773"/>
      <c r="E26" s="779"/>
      <c r="F26" s="779"/>
      <c r="G26" s="780"/>
      <c r="H26" s="260" t="str" cm="1">
        <f t="array" ref="H26">+_xlfn.IFS(C26="","",OR(C26='住宅性能評価、長期使用'!$E$11,$K$15=""),1,C26&lt;&gt;"設計住宅性能評価と長期使用構造等確認の併願　30戸未満(一律)「単位:棟」",$K$15)</f>
        <v/>
      </c>
      <c r="I26" s="174" t="str" cm="1">
        <f t="array" ref="I26">_xlfn.IFS(H26="","",H26=1,"式",H26&gt;2,"戸")</f>
        <v/>
      </c>
      <c r="J26" s="175" t="str">
        <f>IFERROR(_xlfn.XLOOKUP(C26,'住宅性能評価、長期使用'!$E$5:$E$12,'住宅性能評価、長期使用'!$F$5:$F$12),"")</f>
        <v/>
      </c>
      <c r="K26" s="176" t="str">
        <f t="shared" si="4"/>
        <v/>
      </c>
      <c r="L26" s="185" t="str">
        <f t="shared" si="6"/>
        <v/>
      </c>
      <c r="O26" s="270"/>
      <c r="P26" s="270"/>
    </row>
    <row r="27" spans="2:16" s="2" customFormat="1" ht="15" customHeight="1" x14ac:dyDescent="0.15">
      <c r="B27" s="353" t="s">
        <v>738</v>
      </c>
      <c r="C27" s="744" t="s">
        <v>788</v>
      </c>
      <c r="D27" s="754"/>
      <c r="E27" s="754"/>
      <c r="F27" s="754"/>
      <c r="G27" s="755"/>
      <c r="H27" s="177"/>
      <c r="I27" s="177"/>
      <c r="J27" s="178"/>
      <c r="K27" s="179"/>
      <c r="L27" s="11"/>
      <c r="O27" s="270"/>
      <c r="P27" s="270"/>
    </row>
    <row r="28" spans="2:16" s="2" customFormat="1" ht="15" customHeight="1" x14ac:dyDescent="0.15">
      <c r="B28" s="185" t="str">
        <f t="shared" si="0"/>
        <v/>
      </c>
      <c r="C28" s="757"/>
      <c r="D28" s="773"/>
      <c r="E28" s="779"/>
      <c r="F28" s="779"/>
      <c r="G28" s="780"/>
      <c r="H28" s="260" t="str" cm="1">
        <f t="array" ref="H28">+_xlfn.IFS(C28="","",$K$15&lt;&gt;"",$K$15,$K$15="",1)</f>
        <v/>
      </c>
      <c r="I28" s="174" t="str">
        <f t="shared" ref="I28" si="7">IF($C28="","","戸")</f>
        <v/>
      </c>
      <c r="J28" s="175" t="str" cm="1">
        <f t="array" ref="J28">IFERROR(_xlfn.XLOOKUP(C28,'住宅性能評価、長期使用'!$E$18:$E$18,'住宅性能評価、長期使用'!$F$18:$F$18),"")</f>
        <v/>
      </c>
      <c r="K28" s="176" t="str">
        <f t="shared" si="4"/>
        <v/>
      </c>
      <c r="L28" s="185" t="str">
        <f t="shared" si="6"/>
        <v/>
      </c>
      <c r="O28" s="270"/>
      <c r="P28" s="387"/>
    </row>
    <row r="29" spans="2:16" s="2" customFormat="1" ht="15" customHeight="1" x14ac:dyDescent="0.15">
      <c r="B29" s="353" t="s">
        <v>738</v>
      </c>
      <c r="C29" s="744" t="s">
        <v>798</v>
      </c>
      <c r="D29" s="754"/>
      <c r="E29" s="754"/>
      <c r="F29" s="754"/>
      <c r="G29" s="755"/>
      <c r="H29" s="177"/>
      <c r="I29" s="177"/>
      <c r="J29" s="178"/>
      <c r="K29" s="179"/>
      <c r="L29" s="11"/>
      <c r="O29" s="270"/>
      <c r="P29" s="387"/>
    </row>
    <row r="30" spans="2:16" s="2" customFormat="1" ht="15" customHeight="1" x14ac:dyDescent="0.15">
      <c r="B30" s="185" t="str">
        <f>IF($C30="","","・")</f>
        <v/>
      </c>
      <c r="C30" s="757"/>
      <c r="D30" s="773"/>
      <c r="E30" s="779"/>
      <c r="F30" s="779"/>
      <c r="G30" s="780"/>
      <c r="H30" s="174" t="str">
        <f>IF($C30="","",1)</f>
        <v/>
      </c>
      <c r="I30" s="174" t="str">
        <f>IF($C30="","","式")</f>
        <v/>
      </c>
      <c r="J30" s="175" t="str">
        <f>IFERROR(_xlfn.XLOOKUP(C30,'住宅性能評価、長期使用'!$E$14:$E$16,'住宅性能評価、長期使用'!$F$14:$F$16),"")</f>
        <v/>
      </c>
      <c r="K30" s="176" t="str">
        <f>IFERROR(+J30*H30,"")</f>
        <v/>
      </c>
      <c r="L30" s="185" t="str">
        <f>IF($C30="","","-")</f>
        <v/>
      </c>
      <c r="O30" s="270"/>
      <c r="P30" s="270"/>
    </row>
    <row r="31" spans="2:16" s="2" customFormat="1" ht="15" customHeight="1" x14ac:dyDescent="0.15">
      <c r="B31" s="352"/>
      <c r="C31" s="12"/>
      <c r="D31" s="12"/>
      <c r="E31" s="31"/>
      <c r="F31" s="31"/>
      <c r="G31" s="31"/>
      <c r="H31" s="177"/>
      <c r="I31" s="177"/>
      <c r="J31" s="178"/>
      <c r="K31" s="179"/>
      <c r="L31" s="11"/>
      <c r="O31" s="270"/>
      <c r="P31" s="270"/>
    </row>
    <row r="32" spans="2:16" s="2" customFormat="1" ht="15" customHeight="1" x14ac:dyDescent="0.15">
      <c r="B32" s="353" t="s">
        <v>13</v>
      </c>
      <c r="C32" s="188" t="s">
        <v>633</v>
      </c>
      <c r="D32" s="12"/>
      <c r="E32" s="31"/>
      <c r="F32" s="31"/>
      <c r="G32" s="31"/>
      <c r="H32" s="177"/>
      <c r="I32" s="177"/>
      <c r="J32" s="178"/>
      <c r="K32" s="179"/>
      <c r="L32" s="186"/>
      <c r="O32" s="270"/>
      <c r="P32" s="270"/>
    </row>
    <row r="33" spans="2:16" s="2" customFormat="1" ht="15" customHeight="1" x14ac:dyDescent="0.15">
      <c r="B33" s="185" t="str">
        <f t="shared" si="0"/>
        <v/>
      </c>
      <c r="C33" s="757"/>
      <c r="D33" s="773"/>
      <c r="E33" s="779"/>
      <c r="F33" s="779"/>
      <c r="G33" s="780"/>
      <c r="H33" s="174" t="str">
        <f>IF($C33="","",1)</f>
        <v/>
      </c>
      <c r="I33" s="174" t="str">
        <f>IF($C33="","","式")</f>
        <v/>
      </c>
      <c r="J33" s="175" t="str">
        <f>IFERROR(_xlfn.XLOOKUP(C33,'住宅性能評価、長期使用'!$C$5:$C$9,'住宅性能評価、長期使用'!$D$5:$D$9),"")</f>
        <v/>
      </c>
      <c r="K33" s="176" t="str">
        <f t="shared" ref="K33" si="8">IFERROR(+J33*H33,"")</f>
        <v/>
      </c>
      <c r="L33" s="185" t="str">
        <f t="shared" ref="L33:L35" si="9">IF($C33="","","-")</f>
        <v/>
      </c>
      <c r="O33" s="270"/>
      <c r="P33" s="270"/>
    </row>
    <row r="34" spans="2:16" s="2" customFormat="1" ht="15" customHeight="1" x14ac:dyDescent="0.15">
      <c r="B34" s="185" t="str">
        <f t="shared" si="0"/>
        <v/>
      </c>
      <c r="C34" s="743" t="str" cm="1">
        <f t="array" ref="C34">+_xlfn.IFS(C33='住宅性能評価、長期使用'!C5,"",C33='住宅性能評価、長期使用'!C6,"",C33='住宅性能評価、長期使用'!C8,'住宅性能評価、長期使用'!C12,C33='住宅性能評価、長期使用'!C9,'住宅性能評価、長期使用'!C13,K15="","",K15&gt;=30,'住宅性能評価、長期使用'!A13,K15&lt;=29,"")</f>
        <v/>
      </c>
      <c r="D34" s="743"/>
      <c r="E34" s="743"/>
      <c r="F34" s="743"/>
      <c r="G34" s="756"/>
      <c r="H34" s="260" t="str" cm="1">
        <f t="array" ref="H34">+_xlfn.IFS(C34="","",$K$15&lt;&gt;"",$K$15,$K$15="",1)</f>
        <v/>
      </c>
      <c r="I34" s="174" t="str">
        <f t="shared" ref="I34:I35" si="10">IF($C34="","","戸")</f>
        <v/>
      </c>
      <c r="J34" s="175" t="str">
        <f>IFERROR(_xlfn.XLOOKUP(C34,'住宅性能評価、長期使用'!$C$11:$C$13,'住宅性能評価、長期使用'!$D$11:$D$13),"")</f>
        <v/>
      </c>
      <c r="K34" s="176" t="str">
        <f t="shared" ref="K34" si="11">IFERROR(+J34*H34,"")</f>
        <v/>
      </c>
      <c r="L34" s="185" t="str">
        <f t="shared" si="9"/>
        <v/>
      </c>
      <c r="O34" s="270"/>
      <c r="P34" s="270"/>
    </row>
    <row r="35" spans="2:16" s="2" customFormat="1" ht="15" customHeight="1" x14ac:dyDescent="0.15">
      <c r="B35" s="185" t="str">
        <f t="shared" si="0"/>
        <v/>
      </c>
      <c r="C35" s="757"/>
      <c r="D35" s="773"/>
      <c r="E35" s="779"/>
      <c r="F35" s="779"/>
      <c r="G35" s="780"/>
      <c r="H35" s="260" t="str" cm="1">
        <f t="array" ref="H35">+_xlfn.IFS(C35="","",$K$15&lt;&gt;"",$K$15,$K$15="",1)</f>
        <v/>
      </c>
      <c r="I35" s="174" t="str">
        <f t="shared" si="10"/>
        <v/>
      </c>
      <c r="J35" s="175" t="str">
        <f>IFERROR(_xlfn.XLOOKUP(C35,'住宅性能評価、長期使用'!E22,'住宅性能評価、長期使用'!F22),"")</f>
        <v/>
      </c>
      <c r="K35" s="176" t="str">
        <f t="shared" ref="K35" si="12">IFERROR(+J35*H35,"")</f>
        <v/>
      </c>
      <c r="L35" s="185" t="str">
        <f t="shared" si="9"/>
        <v/>
      </c>
      <c r="O35" s="270"/>
      <c r="P35" s="270"/>
    </row>
    <row r="36" spans="2:16" s="2" customFormat="1" ht="15" customHeight="1" x14ac:dyDescent="0.15">
      <c r="B36" s="352"/>
      <c r="C36" s="303"/>
      <c r="D36" s="303"/>
      <c r="E36" s="31"/>
      <c r="F36" s="31"/>
      <c r="G36" s="31"/>
      <c r="H36" s="177" t="str">
        <f t="shared" ref="H36:H38" si="13">IF($C36="","",1)</f>
        <v/>
      </c>
      <c r="I36" s="177" t="str">
        <f>IF($C36="","","式")</f>
        <v/>
      </c>
      <c r="J36" s="178" t="str">
        <f>IFERROR(INDEX(確認申請料金表データ!C$4:Q$33,MATCH($K$16,確認申請料金表データ!B$4:B$33,0),MATCH($C36,確認申請料金表データ!C$3:Q$3,0)),"")</f>
        <v/>
      </c>
      <c r="K36" s="179" t="str">
        <f>IFERROR(+J36*H36,"")</f>
        <v/>
      </c>
      <c r="L36" s="186" t="str">
        <f t="shared" ref="L36:L38" si="14">IF($C36="","","-")</f>
        <v/>
      </c>
      <c r="O36" s="270"/>
    </row>
    <row r="37" spans="2:16" s="2" customFormat="1" ht="15" customHeight="1" x14ac:dyDescent="0.15">
      <c r="B37" s="352"/>
      <c r="C37" s="259" t="s">
        <v>37</v>
      </c>
      <c r="D37" s="20"/>
      <c r="E37" s="21"/>
      <c r="F37" s="21"/>
      <c r="G37" s="21"/>
      <c r="H37" s="25"/>
      <c r="I37" s="4"/>
      <c r="J37" s="29"/>
      <c r="K37" s="170">
        <f>SUM(K17:K36)*0.1</f>
        <v>0</v>
      </c>
      <c r="L37" s="185" t="s">
        <v>14</v>
      </c>
      <c r="O37" s="270"/>
    </row>
    <row r="38" spans="2:16" s="2" customFormat="1" ht="15" customHeight="1" x14ac:dyDescent="0.15">
      <c r="B38" s="352"/>
      <c r="C38" s="303"/>
      <c r="D38" s="303"/>
      <c r="E38" s="31"/>
      <c r="F38" s="31"/>
      <c r="G38" s="31"/>
      <c r="H38" s="177" t="str">
        <f t="shared" si="13"/>
        <v/>
      </c>
      <c r="I38" s="177" t="str">
        <f>IF($C38="","","式")</f>
        <v/>
      </c>
      <c r="J38" s="178" t="str">
        <f>IFERROR(INDEX(確認申請料金表データ!C$4:Q$33,MATCH($K$16,確認申請料金表データ!B$4:B$33,0),MATCH($C38,確認申請料金表データ!C$3:Q$3,0)),"")</f>
        <v/>
      </c>
      <c r="K38" s="179" t="str">
        <f>IFERROR(+J38*H38,"")</f>
        <v/>
      </c>
      <c r="L38" s="186" t="str">
        <f t="shared" si="14"/>
        <v/>
      </c>
    </row>
    <row r="39" spans="2:16" s="2" customFormat="1" ht="15" customHeight="1" x14ac:dyDescent="0.15">
      <c r="B39" s="336"/>
      <c r="C39" s="336"/>
      <c r="D39" s="336"/>
      <c r="E39" s="336"/>
      <c r="F39" s="336"/>
      <c r="G39" s="336"/>
      <c r="H39" s="766" t="s">
        <v>21</v>
      </c>
      <c r="I39" s="767"/>
      <c r="J39" s="768"/>
      <c r="K39" s="171">
        <f>SUM(K17:K38)</f>
        <v>0</v>
      </c>
      <c r="L39" s="305" t="s">
        <v>1</v>
      </c>
    </row>
    <row r="40" spans="2:16" s="2" customFormat="1" ht="15" customHeight="1" x14ac:dyDescent="0.15">
      <c r="B40" s="232" t="s">
        <v>13</v>
      </c>
      <c r="C40" s="230" t="s">
        <v>128</v>
      </c>
      <c r="D40" s="231"/>
      <c r="E40" s="231"/>
      <c r="F40" s="231"/>
      <c r="G40" s="231"/>
      <c r="H40" s="229"/>
      <c r="I40" s="232"/>
      <c r="J40" s="233"/>
      <c r="K40" s="233"/>
      <c r="L40" s="232"/>
      <c r="M40" s="158"/>
    </row>
    <row r="41" spans="2:16" s="2" customFormat="1" ht="15" customHeight="1" x14ac:dyDescent="0.15">
      <c r="B41" s="185"/>
      <c r="C41" s="235" t="s">
        <v>127</v>
      </c>
      <c r="D41" s="778" t="s">
        <v>794</v>
      </c>
      <c r="E41" s="754"/>
      <c r="F41" s="754"/>
      <c r="G41" s="755"/>
      <c r="H41" s="386"/>
      <c r="I41" s="169" t="s">
        <v>15</v>
      </c>
      <c r="J41" s="271"/>
      <c r="K41" s="170">
        <f>+H41*J41</f>
        <v>0</v>
      </c>
      <c r="L41" s="185" t="s">
        <v>14</v>
      </c>
    </row>
    <row r="42" spans="2:16" s="2" customFormat="1" ht="15" customHeight="1" x14ac:dyDescent="0.15">
      <c r="B42" s="305"/>
      <c r="C42" s="236"/>
      <c r="D42" s="236"/>
      <c r="E42" s="236"/>
      <c r="F42" s="236"/>
      <c r="G42" s="236"/>
      <c r="H42" s="228" t="s">
        <v>21</v>
      </c>
      <c r="I42" s="228"/>
      <c r="J42" s="234"/>
      <c r="K42" s="194">
        <f>SUM(K41:K41)</f>
        <v>0</v>
      </c>
      <c r="L42" s="305" t="s">
        <v>1</v>
      </c>
    </row>
    <row r="43" spans="2:16" s="2" customFormat="1" ht="15" customHeight="1" thickBot="1" x14ac:dyDescent="0.2">
      <c r="C43" s="2" t="s">
        <v>91</v>
      </c>
      <c r="H43" s="758" t="s">
        <v>2</v>
      </c>
      <c r="I43" s="758"/>
      <c r="J43" s="758"/>
      <c r="K43" s="195">
        <f>K39+K42</f>
        <v>0</v>
      </c>
      <c r="L43" s="306" t="s">
        <v>1</v>
      </c>
    </row>
    <row r="44" spans="2:16" s="2" customFormat="1" ht="15" customHeight="1" thickTop="1" x14ac:dyDescent="0.15">
      <c r="B44" s="11"/>
      <c r="C44" s="16" t="s">
        <v>774</v>
      </c>
      <c r="I44" s="8"/>
      <c r="J44" s="8"/>
      <c r="K44" s="27"/>
      <c r="L44" s="16"/>
    </row>
    <row r="45" spans="2:16" s="2" customFormat="1" ht="15" customHeight="1" x14ac:dyDescent="0.15">
      <c r="C45" s="16" t="s">
        <v>639</v>
      </c>
    </row>
    <row r="46" spans="2:16" s="2" customFormat="1" ht="15" customHeight="1" x14ac:dyDescent="0.15">
      <c r="C46" s="16" t="s">
        <v>640</v>
      </c>
    </row>
    <row r="47" spans="2:16" s="2" customFormat="1" ht="15" customHeight="1" x14ac:dyDescent="0.15">
      <c r="C47" s="16" t="s">
        <v>642</v>
      </c>
    </row>
    <row r="48" spans="2:16" s="2" customFormat="1" ht="15" customHeight="1" x14ac:dyDescent="0.15">
      <c r="C48" s="16" t="s">
        <v>775</v>
      </c>
    </row>
    <row r="49" spans="2:15" s="2" customFormat="1" ht="15" customHeight="1" x14ac:dyDescent="0.15">
      <c r="C49" s="16" t="s">
        <v>641</v>
      </c>
      <c r="D49" s="1"/>
      <c r="O49" s="16"/>
    </row>
    <row r="50" spans="2:15" ht="16.5" customHeight="1" x14ac:dyDescent="0.15">
      <c r="L50" s="30" t="s">
        <v>32</v>
      </c>
    </row>
    <row r="58" spans="2:15" s="9" customFormat="1" ht="16.5" customHeight="1" x14ac:dyDescent="0.15">
      <c r="B58" s="1"/>
      <c r="C58" s="1"/>
      <c r="D58" s="1"/>
      <c r="E58" s="1"/>
      <c r="F58" s="1"/>
      <c r="G58" s="1"/>
      <c r="H58" s="1"/>
      <c r="I58" s="1"/>
      <c r="J58" s="1"/>
      <c r="K58" s="1"/>
      <c r="L58" s="1"/>
    </row>
    <row r="59" spans="2:15" s="9" customFormat="1" ht="16.5" customHeight="1" x14ac:dyDescent="0.15">
      <c r="B59" s="1"/>
      <c r="C59" s="1"/>
      <c r="D59" s="1"/>
      <c r="E59" s="1"/>
      <c r="F59" s="1"/>
      <c r="G59" s="1"/>
      <c r="H59" s="1"/>
      <c r="I59" s="1"/>
      <c r="J59" s="1"/>
      <c r="K59" s="1"/>
      <c r="L59" s="1"/>
    </row>
  </sheetData>
  <mergeCells count="26">
    <mergeCell ref="D11:K11"/>
    <mergeCell ref="G13:K13"/>
    <mergeCell ref="B14:G14"/>
    <mergeCell ref="K14:L14"/>
    <mergeCell ref="J2:K2"/>
    <mergeCell ref="C4:F4"/>
    <mergeCell ref="D15:G15"/>
    <mergeCell ref="K16:L16"/>
    <mergeCell ref="C19:G19"/>
    <mergeCell ref="C26:G26"/>
    <mergeCell ref="C30:G30"/>
    <mergeCell ref="C29:G29"/>
    <mergeCell ref="H15:J15"/>
    <mergeCell ref="H43:J43"/>
    <mergeCell ref="C20:G20"/>
    <mergeCell ref="C22:G22"/>
    <mergeCell ref="C23:G23"/>
    <mergeCell ref="C24:G24"/>
    <mergeCell ref="C28:G28"/>
    <mergeCell ref="C33:G33"/>
    <mergeCell ref="C34:G34"/>
    <mergeCell ref="C35:G35"/>
    <mergeCell ref="H39:J39"/>
    <mergeCell ref="D41:G41"/>
    <mergeCell ref="C27:G27"/>
    <mergeCell ref="C25:G25"/>
  </mergeCells>
  <phoneticPr fontId="4"/>
  <printOptions horizontalCentered="1" verticalCentered="1"/>
  <pageMargins left="0.39370078740157483" right="0.39370078740157483" top="0.39370078740157483" bottom="0" header="0" footer="0"/>
  <pageSetup paperSize="9" orientation="portrait" blackAndWhite="1"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r:uid="{4EC512CE-CA13-4A36-87B2-C071BA227848}">
          <x14:formula1>
            <xm:f>'住宅性能評価、長期使用'!$A$4:$A$11</xm:f>
          </x14:formula1>
          <xm:sqref>C19:G19</xm:sqref>
        </x14:dataValidation>
        <x14:dataValidation type="list" allowBlank="1" showInputMessage="1" showErrorMessage="1" xr:uid="{1DF7B74B-5A0B-4701-BD50-5D03965E1B6A}">
          <x14:formula1>
            <xm:f>'住宅性能評価、長期使用'!$C$4:$C$9</xm:f>
          </x14:formula1>
          <xm:sqref>C33:G33</xm:sqref>
        </x14:dataValidation>
        <x14:dataValidation type="list" allowBlank="1" showInputMessage="1" showErrorMessage="1" xr:uid="{49692A02-36CD-4D75-B787-5AB578A1A6BF}">
          <x14:formula1>
            <xm:f>'住宅性能評価、長期使用'!$E$21:$E$22</xm:f>
          </x14:formula1>
          <xm:sqref>C35:G35</xm:sqref>
        </x14:dataValidation>
        <x14:dataValidation type="list" allowBlank="1" showInputMessage="1" showErrorMessage="1" xr:uid="{5256D44D-F8AE-4654-8C9F-7A8EE7EE0A6B}">
          <x14:formula1>
            <xm:f>'住宅性能評価、長期使用'!$D$18:$E$18</xm:f>
          </x14:formula1>
          <xm:sqref>C28:G28</xm:sqref>
        </x14:dataValidation>
        <x14:dataValidation type="list" allowBlank="1" showInputMessage="1" showErrorMessage="1" xr:uid="{4B9BC99C-1027-49F2-81ED-7855F6235150}">
          <x14:formula1>
            <xm:f>'住宅性能評価、長期使用'!$E$4:$E$12</xm:f>
          </x14:formula1>
          <xm:sqref>C23:G26</xm:sqref>
        </x14:dataValidation>
        <x14:dataValidation type="list" allowBlank="1" showInputMessage="1" showErrorMessage="1" xr:uid="{37E5BCB5-B657-4018-A27F-E036974EF3BE}">
          <x14:formula1>
            <xm:f>'住宅性能評価、長期使用'!$E$13:$E16</xm:f>
          </x14:formula1>
          <xm:sqref>C30:G30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CA3FE-86AE-416C-A38A-DA2CCF36FA93}">
  <sheetPr>
    <tabColor rgb="FFFFFF00"/>
  </sheetPr>
  <dimension ref="A1:O55"/>
  <sheetViews>
    <sheetView view="pageBreakPreview" topLeftCell="A3" zoomScaleNormal="100" zoomScaleSheetLayoutView="100" workbookViewId="0">
      <selection activeCell="C18" sqref="C18:D18"/>
    </sheetView>
  </sheetViews>
  <sheetFormatPr defaultColWidth="3.625" defaultRowHeight="16.5" customHeight="1" x14ac:dyDescent="0.15"/>
  <cols>
    <col min="1" max="1" width="0.625" style="1" customWidth="1"/>
    <col min="2" max="2" width="2.75" style="1" customWidth="1"/>
    <col min="3" max="3" width="19.625" style="1" customWidth="1"/>
    <col min="4" max="4" width="17.625" style="1" customWidth="1"/>
    <col min="5" max="5" width="5.25" style="1" customWidth="1"/>
    <col min="6" max="6" width="4.75" style="1" customWidth="1"/>
    <col min="7" max="7" width="7.25" style="1" customWidth="1"/>
    <col min="8" max="9" width="4.75" style="1" customWidth="1"/>
    <col min="10" max="10" width="8.75" style="1" customWidth="1"/>
    <col min="11" max="11" width="13.25" style="1" customWidth="1"/>
    <col min="12" max="12" width="2.75" style="1" customWidth="1"/>
    <col min="13" max="13" width="0.625" style="1" customWidth="1"/>
    <col min="14" max="16384" width="3.625" style="1"/>
  </cols>
  <sheetData>
    <row r="1" spans="2:15" ht="19.5" customHeight="1" x14ac:dyDescent="0.15">
      <c r="B1" s="204" t="s">
        <v>29</v>
      </c>
      <c r="C1" s="205"/>
      <c r="D1" s="204"/>
      <c r="E1" s="206"/>
      <c r="F1" s="206"/>
      <c r="G1" s="206"/>
      <c r="H1" s="205"/>
      <c r="I1" s="205"/>
      <c r="J1" s="205"/>
      <c r="K1" s="205"/>
      <c r="L1" s="205"/>
    </row>
    <row r="2" spans="2:15" ht="15" customHeight="1" x14ac:dyDescent="0.15">
      <c r="B2" s="160"/>
      <c r="C2" s="160"/>
      <c r="D2" s="160"/>
      <c r="E2" s="207"/>
      <c r="F2" s="207"/>
      <c r="G2" s="207"/>
      <c r="H2" s="207"/>
      <c r="I2" s="207"/>
      <c r="J2" s="733">
        <f ca="1">TODAY()</f>
        <v>45848</v>
      </c>
      <c r="K2" s="733"/>
      <c r="L2" s="207"/>
    </row>
    <row r="3" spans="2:15" ht="15" customHeight="1" x14ac:dyDescent="0.15">
      <c r="B3" s="160"/>
      <c r="C3" s="160"/>
      <c r="D3" s="160"/>
      <c r="E3" s="207"/>
      <c r="F3" s="207"/>
      <c r="G3" s="207"/>
      <c r="H3" s="207"/>
      <c r="I3" s="207"/>
      <c r="J3" s="378"/>
      <c r="K3" s="378"/>
      <c r="L3" s="207"/>
    </row>
    <row r="4" spans="2:15" ht="15" customHeight="1" x14ac:dyDescent="0.15">
      <c r="B4" s="160"/>
      <c r="C4" s="734" t="str">
        <f>+入力シート!E9&amp;"　　"&amp;入力シート!G9</f>
        <v>　　御中</v>
      </c>
      <c r="D4" s="735"/>
      <c r="E4" s="736"/>
      <c r="F4" s="736"/>
      <c r="G4" s="160"/>
      <c r="H4" s="160"/>
      <c r="I4" s="160"/>
      <c r="J4" s="160"/>
      <c r="K4" s="160"/>
      <c r="L4" s="160"/>
    </row>
    <row r="5" spans="2:15" ht="15" customHeight="1" x14ac:dyDescent="0.15">
      <c r="B5" s="160"/>
      <c r="C5" s="162"/>
      <c r="D5" s="160"/>
      <c r="E5" s="160"/>
      <c r="F5" s="160"/>
      <c r="G5" s="160"/>
      <c r="H5" s="160"/>
      <c r="I5" s="160"/>
      <c r="J5" s="160"/>
      <c r="K5" s="160"/>
      <c r="L5" s="160"/>
    </row>
    <row r="6" spans="2:15" ht="15" customHeight="1" x14ac:dyDescent="0.15">
      <c r="B6" s="160"/>
      <c r="C6" s="160"/>
      <c r="D6" s="160"/>
      <c r="E6" s="160"/>
      <c r="F6" s="160"/>
      <c r="G6" s="160"/>
      <c r="H6" s="158" t="str" cm="1">
        <f t="array" ref="H6">_xlfn.IFS(入力シート!$E$8=基本入力データシート!$D$3,基本入力データシート!$E$3,入力シート!$E$8=基本入力データシート!$D$7,基本入力データシート!$E$7,入力シート!$E$8=基本入力データシート!$D$8,基本入力データシート!$E$8,入力シート!$E$8=基本入力データシート!$D$4,基本入力データシート!$E$4,入力シート!$E$8=基本入力データシート!$D$5,基本入力データシート!$E$5,入力シート!$E$8=基本入力データシート!$D$6,基本入力データシート!$E$6)</f>
        <v>〒150-0002  東京都渋谷区渋谷1-13-9</v>
      </c>
      <c r="I6" s="159"/>
      <c r="J6" s="160"/>
      <c r="K6" s="160"/>
      <c r="L6" s="160"/>
    </row>
    <row r="7" spans="2:15" ht="15" customHeight="1" x14ac:dyDescent="0.15">
      <c r="B7" s="160"/>
      <c r="C7" s="160"/>
      <c r="D7" s="160"/>
      <c r="E7" s="160"/>
      <c r="F7" s="160"/>
      <c r="G7" s="160"/>
      <c r="H7" s="158" t="str" cm="1">
        <f t="array" ref="H7">_xlfn.IFS(入力シート!$E$8=基本入力データシート!$D$3,基本入力データシート!$F$3,入力シート!$E$8=基本入力データシート!$D$7,基本入力データシート!$F$7,入力シート!$E$8=基本入力データシート!$D$8,基本入力データシート!$F$8,入力シート!$E$8=基本入力データシート!$D$4,基本入力データシート!$F$4,入力シート!$E$8=基本入力データシート!$D$5,基本入力データシート!$F$5,入力シート!$E$8=基本入力データシート!$D$6,基本入力データシート!$F$6)</f>
        <v>株式会社 J 建築検査センター</v>
      </c>
      <c r="I7" s="161"/>
      <c r="J7" s="160"/>
      <c r="K7" s="160"/>
      <c r="L7" s="208"/>
      <c r="M7" s="5"/>
    </row>
    <row r="8" spans="2:15" ht="15" customHeight="1" x14ac:dyDescent="0.15">
      <c r="B8" s="160"/>
      <c r="C8" s="160"/>
      <c r="D8" s="160"/>
      <c r="E8" s="160"/>
      <c r="F8" s="160"/>
      <c r="G8" s="160"/>
      <c r="H8" s="158" t="str" cm="1">
        <f t="array" ref="H8">_xlfn.IFS(入力シート!$E$8=基本入力データシート!$D$3,基本入力データシート!$G$3,入力シート!$E$8=基本入力データシート!$D$7,基本入力データシート!$G$7,入力シート!$E$8=基本入力データシート!$D$8,基本入力データシート!$G$8,入力シート!$E$8=基本入力データシート!$D$4,基本入力データシート!$G$4,入力シート!$E$8=基本入力データシート!$D$5,基本入力データシート!$G$5,入力シート!$E$8=基本入力データシート!$D$6,基本入力データシート!$G$6)</f>
        <v>TEL:03-5464-7778　FAX:03-5464-7779</v>
      </c>
      <c r="I8" s="161"/>
      <c r="J8" s="160"/>
      <c r="K8" s="160"/>
      <c r="L8" s="160"/>
    </row>
    <row r="9" spans="2:15" ht="15" customHeight="1" x14ac:dyDescent="0.15">
      <c r="B9" s="160"/>
      <c r="C9" s="209" t="s">
        <v>3</v>
      </c>
      <c r="D9" s="160"/>
      <c r="E9" s="160"/>
      <c r="F9" s="160"/>
      <c r="G9" s="160"/>
      <c r="H9" s="160"/>
      <c r="I9" s="161"/>
      <c r="J9" s="160"/>
      <c r="K9" s="160"/>
      <c r="L9" s="160"/>
    </row>
    <row r="10" spans="2:15" ht="11.25" customHeight="1" x14ac:dyDescent="0.15">
      <c r="B10" s="160"/>
      <c r="C10" s="210"/>
      <c r="D10" s="210"/>
      <c r="E10" s="210"/>
      <c r="F10" s="210"/>
      <c r="G10" s="210"/>
      <c r="H10" s="210"/>
      <c r="I10" s="210"/>
      <c r="J10" s="210"/>
      <c r="K10" s="210"/>
      <c r="L10" s="160"/>
    </row>
    <row r="11" spans="2:15" s="10" customFormat="1" ht="24" customHeight="1" x14ac:dyDescent="0.15">
      <c r="B11" s="211"/>
      <c r="C11" s="212" t="s">
        <v>7</v>
      </c>
      <c r="D11" s="737">
        <f>+入力シート!E10</f>
        <v>0</v>
      </c>
      <c r="E11" s="738"/>
      <c r="F11" s="738"/>
      <c r="G11" s="738"/>
      <c r="H11" s="738"/>
      <c r="I11" s="738"/>
      <c r="J11" s="738"/>
      <c r="K11" s="738"/>
      <c r="L11" s="211"/>
    </row>
    <row r="12" spans="2:15" s="10" customFormat="1" ht="24" customHeight="1" x14ac:dyDescent="0.15">
      <c r="B12" s="211"/>
      <c r="C12" s="213" t="s">
        <v>6</v>
      </c>
      <c r="D12" s="163">
        <f>+K38</f>
        <v>0</v>
      </c>
      <c r="E12" s="214" t="s">
        <v>14</v>
      </c>
      <c r="F12" s="214"/>
      <c r="G12" s="214"/>
      <c r="H12" s="214"/>
      <c r="I12" s="215"/>
      <c r="J12" s="215"/>
      <c r="K12" s="215"/>
      <c r="L12" s="211"/>
    </row>
    <row r="13" spans="2:15" s="2" customFormat="1" ht="15" customHeight="1" x14ac:dyDescent="0.15">
      <c r="B13" s="219"/>
      <c r="C13" s="216" t="s">
        <v>4</v>
      </c>
      <c r="D13" s="217" t="s">
        <v>8</v>
      </c>
      <c r="E13" s="218" t="s">
        <v>5</v>
      </c>
      <c r="F13" s="216"/>
      <c r="G13" s="739"/>
      <c r="H13" s="740"/>
      <c r="I13" s="740"/>
      <c r="J13" s="740"/>
      <c r="K13" s="740"/>
      <c r="L13" s="158"/>
      <c r="O13" s="10"/>
    </row>
    <row r="14" spans="2:15" s="2" customFormat="1" ht="15" customHeight="1" x14ac:dyDescent="0.15">
      <c r="B14" s="741" t="s">
        <v>9</v>
      </c>
      <c r="C14" s="741"/>
      <c r="D14" s="741"/>
      <c r="E14" s="741"/>
      <c r="F14" s="741"/>
      <c r="G14" s="741"/>
      <c r="H14" s="222" t="s">
        <v>10</v>
      </c>
      <c r="I14" s="223" t="s">
        <v>0</v>
      </c>
      <c r="J14" s="224" t="s">
        <v>11</v>
      </c>
      <c r="K14" s="742" t="s">
        <v>12</v>
      </c>
      <c r="L14" s="741"/>
      <c r="O14" s="10"/>
    </row>
    <row r="15" spans="2:15" s="2" customFormat="1" ht="15" customHeight="1" x14ac:dyDescent="0.15">
      <c r="B15" s="220"/>
      <c r="C15" s="164" t="s">
        <v>28</v>
      </c>
      <c r="D15" s="746" t="str">
        <f>+入力シート!$E$12&amp;入力シート!$F$12&amp;入力シート!$G$12</f>
        <v>東京都</v>
      </c>
      <c r="E15" s="738"/>
      <c r="F15" s="738"/>
      <c r="G15" s="738"/>
      <c r="H15" s="747" t="str">
        <f>+入力シート!E16</f>
        <v>一戸建ての住宅</v>
      </c>
      <c r="I15" s="748"/>
      <c r="J15" s="748"/>
      <c r="K15" s="166" t="str">
        <f>IF(入力シート!F16="","",入力シート!F16)</f>
        <v/>
      </c>
      <c r="L15" s="187" t="str">
        <f>IF(K15="","","戸")</f>
        <v/>
      </c>
      <c r="O15" s="10"/>
    </row>
    <row r="16" spans="2:15" s="2" customFormat="1" ht="15" customHeight="1" x14ac:dyDescent="0.15">
      <c r="B16" s="221"/>
      <c r="C16" s="165" t="s">
        <v>27</v>
      </c>
      <c r="D16" s="167" t="str">
        <f>+入力シート!E14</f>
        <v>木造</v>
      </c>
      <c r="E16" s="189" t="s">
        <v>46</v>
      </c>
      <c r="F16" s="168">
        <f>+入力シート!G14</f>
        <v>2</v>
      </c>
      <c r="G16" s="190" t="s">
        <v>17</v>
      </c>
      <c r="H16" s="187" t="str">
        <f>IF(入力シート!H14="","-",入力シート!H14)</f>
        <v>-</v>
      </c>
      <c r="I16" s="191" t="s">
        <v>31</v>
      </c>
      <c r="J16" s="192" t="s">
        <v>30</v>
      </c>
      <c r="K16" s="749" t="str">
        <f>+入力シート!F14</f>
        <v>0-100㎡以内(3号)</v>
      </c>
      <c r="L16" s="750"/>
      <c r="O16" s="10"/>
    </row>
    <row r="17" spans="1:15" s="2" customFormat="1" ht="15" customHeight="1" x14ac:dyDescent="0.15">
      <c r="B17" s="333" t="s">
        <v>39</v>
      </c>
      <c r="C17" s="375" t="s">
        <v>643</v>
      </c>
      <c r="D17" s="188"/>
      <c r="E17" s="18"/>
      <c r="F17" s="181"/>
      <c r="G17" s="13"/>
      <c r="H17" s="4"/>
      <c r="I17" s="4"/>
      <c r="J17" s="28"/>
      <c r="K17" s="24"/>
      <c r="L17" s="12"/>
    </row>
    <row r="18" spans="1:15" s="2" customFormat="1" ht="15" customHeight="1" x14ac:dyDescent="0.15">
      <c r="A18" s="303"/>
      <c r="B18" s="352"/>
      <c r="C18" s="303"/>
      <c r="D18" s="303"/>
      <c r="E18" s="31"/>
      <c r="F18" s="31"/>
      <c r="G18" s="31"/>
      <c r="H18" s="4"/>
      <c r="I18" s="4"/>
      <c r="J18" s="28"/>
      <c r="K18" s="24"/>
      <c r="L18" s="186"/>
    </row>
    <row r="19" spans="1:15" s="2" customFormat="1" ht="15" customHeight="1" x14ac:dyDescent="0.15">
      <c r="B19" s="185" t="str">
        <f t="shared" ref="B19:B20" si="0">IF($C19="","","・")</f>
        <v/>
      </c>
      <c r="C19" s="757"/>
      <c r="D19" s="773"/>
      <c r="E19" s="779"/>
      <c r="F19" s="779"/>
      <c r="G19" s="780"/>
      <c r="H19" s="260" t="str">
        <f>+IF(C19="","",1)</f>
        <v/>
      </c>
      <c r="I19" s="174" t="str" cm="1">
        <f t="array" ref="I19">_xlfn.IFS(H19="","",H19=1,"式",H19&lt;&gt;"","式")</f>
        <v/>
      </c>
      <c r="J19" s="175" t="str">
        <f>IFERROR(_xlfn.XLOOKUP(C19,'住宅性能評価、長期使用'!G5:G7,'住宅性能評価、長期使用'!H5:H7),"")</f>
        <v/>
      </c>
      <c r="K19" s="176" t="str">
        <f>IFERROR(+J19*H19,"")</f>
        <v/>
      </c>
      <c r="L19" s="185" t="str">
        <f>IF($C19="","","-")</f>
        <v/>
      </c>
    </row>
    <row r="20" spans="1:15" s="2" customFormat="1" ht="15" customHeight="1" x14ac:dyDescent="0.15">
      <c r="B20" s="185" t="str">
        <f t="shared" si="0"/>
        <v/>
      </c>
      <c r="C20" s="743" t="str" cm="1">
        <f t="array" ref="C20">+_xlfn.IFS(AND(C19='住宅性能評価、長期使用'!G5,C19='住宅性能評価、長期使用'!G6,C19='住宅性能評価、長期使用'!G7),"",OR(K15="",C25&lt;&gt;""),"",K15&gt;=30,'住宅性能評価、長期使用'!G9,K15&lt;=29,"")</f>
        <v/>
      </c>
      <c r="D20" s="744"/>
      <c r="E20" s="776"/>
      <c r="F20" s="776"/>
      <c r="G20" s="777"/>
      <c r="H20" s="260" t="str" cm="1">
        <f t="array" ref="H20">+_xlfn.IFS(C20="","",$K$15&lt;&gt;"",$K$15,$K$15="","")</f>
        <v/>
      </c>
      <c r="I20" s="174" t="str">
        <f>IF(C20="","","戸")</f>
        <v/>
      </c>
      <c r="J20" s="175" t="str">
        <f>IFERROR(_xlfn.XLOOKUP(C20,'住宅性能評価、長期使用'!G9,'住宅性能評価、長期使用'!H9),"")</f>
        <v/>
      </c>
      <c r="K20" s="176" t="str">
        <f>IFERROR(+J20*H20,"")</f>
        <v/>
      </c>
      <c r="L20" s="185" t="str">
        <f>IF($C20="","","-")</f>
        <v/>
      </c>
      <c r="N20" s="2" t="s">
        <v>182</v>
      </c>
      <c r="O20" s="270" t="s">
        <v>799</v>
      </c>
    </row>
    <row r="21" spans="1:15" s="2" customFormat="1" ht="15" customHeight="1" x14ac:dyDescent="0.15">
      <c r="B21" s="186"/>
      <c r="C21" s="12"/>
      <c r="D21" s="12"/>
      <c r="E21" s="31"/>
      <c r="F21" s="31"/>
      <c r="G21" s="31"/>
      <c r="H21" s="4"/>
      <c r="I21" s="4"/>
      <c r="J21" s="156"/>
      <c r="K21" s="24"/>
      <c r="L21" s="186" t="str">
        <f>IF($C21="","","-")</f>
        <v/>
      </c>
    </row>
    <row r="22" spans="1:15" s="2" customFormat="1" ht="15" customHeight="1" x14ac:dyDescent="0.15">
      <c r="B22" s="186"/>
      <c r="C22" s="12"/>
      <c r="D22" s="12"/>
      <c r="E22" s="31"/>
      <c r="F22" s="31"/>
      <c r="G22" s="31"/>
      <c r="H22" s="4"/>
      <c r="I22" s="4"/>
      <c r="J22" s="156"/>
      <c r="K22" s="24"/>
      <c r="L22" s="186"/>
    </row>
    <row r="23" spans="1:15" s="2" customFormat="1" ht="15" customHeight="1" x14ac:dyDescent="0.15">
      <c r="B23" s="185" t="s">
        <v>13</v>
      </c>
      <c r="C23" s="188" t="s">
        <v>1138</v>
      </c>
      <c r="D23" s="12"/>
      <c r="E23" s="31"/>
      <c r="F23" s="31"/>
      <c r="G23" s="31"/>
      <c r="H23" s="4"/>
      <c r="I23" s="4"/>
      <c r="J23" s="156"/>
      <c r="K23" s="24"/>
      <c r="L23" s="186"/>
    </row>
    <row r="24" spans="1:15" s="2" customFormat="1" ht="15" customHeight="1" x14ac:dyDescent="0.15">
      <c r="B24" s="185" t="str">
        <f t="shared" ref="B24:B25" si="1">IF($C24="","","・")</f>
        <v/>
      </c>
      <c r="C24" s="757"/>
      <c r="D24" s="773"/>
      <c r="E24" s="779"/>
      <c r="F24" s="779"/>
      <c r="G24" s="780"/>
      <c r="H24" s="260" t="str">
        <f>+IF(C24="","",1)</f>
        <v/>
      </c>
      <c r="I24" s="174" t="str" cm="1">
        <f t="array" ref="I24">_xlfn.IFS(H24="","",H24=1,"式",H24&lt;&gt;"","式")</f>
        <v/>
      </c>
      <c r="J24" s="175" t="str">
        <f>IFERROR(_xlfn.XLOOKUP(C24,'住宅性能評価、長期使用'!G12:G17,'住宅性能評価、長期使用'!H12:H17),"")</f>
        <v/>
      </c>
      <c r="K24" s="176" t="str">
        <f>IFERROR(+J24*H24,"")</f>
        <v/>
      </c>
      <c r="L24" s="185" t="str">
        <f>IF($C24="","","-")</f>
        <v/>
      </c>
    </row>
    <row r="25" spans="1:15" s="2" customFormat="1" ht="15" customHeight="1" x14ac:dyDescent="0.15">
      <c r="B25" s="185" t="str">
        <f t="shared" si="1"/>
        <v/>
      </c>
      <c r="C25" s="757"/>
      <c r="D25" s="773"/>
      <c r="E25" s="779"/>
      <c r="F25" s="779"/>
      <c r="G25" s="780"/>
      <c r="H25" s="260" t="str" cm="1">
        <f t="array" ref="H25">+_xlfn.IFS(C25="","",$K$15&lt;&gt;"",$K$15,$K$15="","")</f>
        <v/>
      </c>
      <c r="I25" s="174" t="str">
        <f>IF(C25="","","戸")</f>
        <v/>
      </c>
      <c r="J25" s="175" t="str">
        <f>IFERROR(_xlfn.XLOOKUP(C25,'住宅性能評価、長期使用'!G19:G20,'住宅性能評価、長期使用'!H19:H20),"")</f>
        <v/>
      </c>
      <c r="K25" s="176" t="str">
        <f>IFERROR(+J25*H25,"")</f>
        <v/>
      </c>
      <c r="L25" s="185" t="str">
        <f>IF($C25="","","-")</f>
        <v/>
      </c>
    </row>
    <row r="26" spans="1:15" s="2" customFormat="1" ht="15" customHeight="1" x14ac:dyDescent="0.15">
      <c r="B26" s="186"/>
      <c r="C26" s="12"/>
      <c r="D26" s="12"/>
      <c r="E26" s="31"/>
      <c r="F26" s="31"/>
      <c r="G26" s="31"/>
      <c r="H26" s="4"/>
      <c r="I26" s="4"/>
      <c r="J26" s="156"/>
      <c r="K26" s="24"/>
      <c r="L26" s="186" t="str">
        <f t="shared" ref="L26:L29" si="2">IF($C26="","","-")</f>
        <v/>
      </c>
    </row>
    <row r="27" spans="1:15" s="2" customFormat="1" ht="15" customHeight="1" x14ac:dyDescent="0.15">
      <c r="B27" s="186"/>
      <c r="C27" s="12"/>
      <c r="D27" s="12"/>
      <c r="E27" s="31"/>
      <c r="F27" s="31"/>
      <c r="G27" s="31"/>
      <c r="H27" s="4"/>
      <c r="I27" s="4"/>
      <c r="J27" s="156"/>
      <c r="K27" s="24"/>
      <c r="L27" s="186" t="str">
        <f t="shared" si="2"/>
        <v/>
      </c>
    </row>
    <row r="28" spans="1:15" s="2" customFormat="1" ht="15" customHeight="1" x14ac:dyDescent="0.15">
      <c r="B28" s="186"/>
      <c r="C28" s="12"/>
      <c r="D28" s="12"/>
      <c r="E28" s="31"/>
      <c r="F28" s="31"/>
      <c r="G28" s="31"/>
      <c r="H28" s="4"/>
      <c r="I28" s="4"/>
      <c r="J28" s="156"/>
      <c r="K28" s="24"/>
      <c r="L28" s="186" t="str">
        <f t="shared" si="2"/>
        <v/>
      </c>
    </row>
    <row r="29" spans="1:15" s="2" customFormat="1" ht="15" customHeight="1" x14ac:dyDescent="0.15">
      <c r="B29" s="352"/>
      <c r="C29" s="303"/>
      <c r="D29" s="303"/>
      <c r="E29" s="31"/>
      <c r="F29" s="31"/>
      <c r="G29" s="31"/>
      <c r="H29" s="177" t="str">
        <f t="shared" ref="H29:H32" si="3">IF($C29="","",1)</f>
        <v/>
      </c>
      <c r="I29" s="177" t="str">
        <f t="shared" ref="I29:I32" si="4">IF($C29="","","式")</f>
        <v/>
      </c>
      <c r="J29" s="178" t="str">
        <f>IFERROR(INDEX(確認申請料金表データ!C$4:Q$33,MATCH($K$16,確認申請料金表データ!B$4:B$33,0),MATCH($C29,確認申請料金表データ!C$3:Q$3,0)),"")</f>
        <v/>
      </c>
      <c r="K29" s="179" t="str">
        <f t="shared" ref="K29:K32" si="5">IFERROR(+J29*H29,"")</f>
        <v/>
      </c>
      <c r="L29" s="186" t="str">
        <f t="shared" si="2"/>
        <v/>
      </c>
    </row>
    <row r="30" spans="1:15" s="2" customFormat="1" ht="15" customHeight="1" x14ac:dyDescent="0.15">
      <c r="B30" s="352"/>
      <c r="C30" s="303"/>
      <c r="D30" s="303"/>
      <c r="E30" s="31"/>
      <c r="F30" s="31"/>
      <c r="G30" s="31"/>
      <c r="H30" s="177" t="str">
        <f t="shared" si="3"/>
        <v/>
      </c>
      <c r="I30" s="177" t="str">
        <f t="shared" si="4"/>
        <v/>
      </c>
      <c r="J30" s="178" t="str">
        <f>IFERROR(INDEX(確認申請料金表データ!C$4:Q$33,MATCH($K$16,確認申請料金表データ!B$4:B$33,0),MATCH($C30,確認申請料金表データ!C$3:Q$3,0)),"")</f>
        <v/>
      </c>
      <c r="K30" s="179" t="str">
        <f t="shared" si="5"/>
        <v/>
      </c>
      <c r="L30" s="186" t="str">
        <f t="shared" ref="L30:L33" si="6">IF($C30="","","-")</f>
        <v/>
      </c>
    </row>
    <row r="31" spans="1:15" s="2" customFormat="1" ht="15" customHeight="1" x14ac:dyDescent="0.15">
      <c r="B31" s="352"/>
      <c r="C31" s="303"/>
      <c r="D31" s="303"/>
      <c r="E31" s="31"/>
      <c r="F31" s="31"/>
      <c r="G31" s="31"/>
      <c r="H31" s="177" t="str">
        <f t="shared" si="3"/>
        <v/>
      </c>
      <c r="I31" s="177" t="str">
        <f t="shared" si="4"/>
        <v/>
      </c>
      <c r="J31" s="178" t="str">
        <f>IFERROR(INDEX(確認申請料金表データ!C$4:Q$33,MATCH($K$16,確認申請料金表データ!B$4:B$33,0),MATCH($C31,確認申請料金表データ!C$3:Q$3,0)),"")</f>
        <v/>
      </c>
      <c r="K31" s="179" t="str">
        <f t="shared" si="5"/>
        <v/>
      </c>
      <c r="L31" s="186" t="str">
        <f t="shared" si="6"/>
        <v/>
      </c>
      <c r="O31" s="270"/>
    </row>
    <row r="32" spans="1:15" s="2" customFormat="1" ht="15" customHeight="1" x14ac:dyDescent="0.15">
      <c r="B32" s="352"/>
      <c r="C32" s="303"/>
      <c r="D32" s="303"/>
      <c r="E32" s="31"/>
      <c r="F32" s="31"/>
      <c r="G32" s="31"/>
      <c r="H32" s="177" t="str">
        <f t="shared" si="3"/>
        <v/>
      </c>
      <c r="I32" s="177" t="str">
        <f t="shared" si="4"/>
        <v/>
      </c>
      <c r="J32" s="178" t="str">
        <f>IFERROR(INDEX(確認申請料金表データ!C$4:Q$33,MATCH($K$16,確認申請料金表データ!B$4:B$33,0),MATCH($C32,確認申請料金表データ!C$3:Q$3,0)),"")</f>
        <v/>
      </c>
      <c r="K32" s="179" t="str">
        <f t="shared" si="5"/>
        <v/>
      </c>
      <c r="L32" s="186" t="str">
        <f t="shared" si="6"/>
        <v/>
      </c>
      <c r="O32" s="270"/>
    </row>
    <row r="33" spans="2:15" s="2" customFormat="1" ht="15" customHeight="1" x14ac:dyDescent="0.15">
      <c r="B33" s="352"/>
      <c r="C33" s="303"/>
      <c r="D33" s="303"/>
      <c r="E33" s="31"/>
      <c r="F33" s="31"/>
      <c r="G33" s="31"/>
      <c r="H33" s="177" t="str">
        <f t="shared" ref="H33" si="7">IF($C33="","",1)</f>
        <v/>
      </c>
      <c r="I33" s="177" t="str">
        <f>IF($C33="","","式")</f>
        <v/>
      </c>
      <c r="J33" s="178" t="str">
        <f>IFERROR(INDEX(確認申請料金表データ!C$4:Q$33,MATCH($K$16,確認申請料金表データ!B$4:B$33,0),MATCH($C33,確認申請料金表データ!C$3:Q$3,0)),"")</f>
        <v/>
      </c>
      <c r="K33" s="179" t="str">
        <f>IFERROR(+J33*H33,"")</f>
        <v/>
      </c>
      <c r="L33" s="186" t="str">
        <f t="shared" si="6"/>
        <v/>
      </c>
    </row>
    <row r="34" spans="2:15" s="2" customFormat="1" ht="15" customHeight="1" x14ac:dyDescent="0.15">
      <c r="B34" s="336"/>
      <c r="C34" s="336"/>
      <c r="D34" s="336"/>
      <c r="E34" s="336"/>
      <c r="F34" s="336"/>
      <c r="G34" s="336"/>
      <c r="H34" s="766" t="s">
        <v>21</v>
      </c>
      <c r="I34" s="767"/>
      <c r="J34" s="768"/>
      <c r="K34" s="171">
        <f>SUM(K17:K33)</f>
        <v>0</v>
      </c>
      <c r="L34" s="305" t="s">
        <v>1</v>
      </c>
    </row>
    <row r="35" spans="2:15" s="2" customFormat="1" ht="15" customHeight="1" x14ac:dyDescent="0.15">
      <c r="B35" s="22"/>
      <c r="C35" s="7"/>
      <c r="D35" s="12"/>
      <c r="E35" s="31"/>
      <c r="F35" s="31"/>
      <c r="G35" s="31"/>
      <c r="H35" s="177"/>
      <c r="I35" s="177"/>
      <c r="J35" s="178"/>
      <c r="K35" s="179"/>
      <c r="L35" s="186"/>
      <c r="M35" s="158"/>
    </row>
    <row r="36" spans="2:15" s="2" customFormat="1" ht="15" customHeight="1" x14ac:dyDescent="0.15">
      <c r="B36" s="23"/>
      <c r="C36" s="259" t="s">
        <v>37</v>
      </c>
      <c r="D36" s="20"/>
      <c r="E36" s="21"/>
      <c r="F36" s="21"/>
      <c r="G36" s="21"/>
      <c r="H36" s="25"/>
      <c r="I36" s="4"/>
      <c r="J36" s="29"/>
      <c r="K36" s="170">
        <f>K34*0.1</f>
        <v>0</v>
      </c>
      <c r="L36" s="185" t="s">
        <v>14</v>
      </c>
    </row>
    <row r="37" spans="2:15" s="2" customFormat="1" ht="15" customHeight="1" x14ac:dyDescent="0.15">
      <c r="B37" s="247"/>
      <c r="C37" s="248"/>
      <c r="D37" s="15"/>
      <c r="E37" s="249"/>
      <c r="F37" s="249"/>
      <c r="G37" s="249"/>
      <c r="H37" s="250"/>
      <c r="I37" s="250"/>
      <c r="J37" s="251"/>
      <c r="K37" s="252"/>
      <c r="L37" s="304"/>
    </row>
    <row r="38" spans="2:15" s="2" customFormat="1" ht="15" customHeight="1" thickBot="1" x14ac:dyDescent="0.2">
      <c r="C38" s="2" t="s">
        <v>91</v>
      </c>
      <c r="H38" s="758" t="s">
        <v>2</v>
      </c>
      <c r="I38" s="758"/>
      <c r="J38" s="758"/>
      <c r="K38" s="195">
        <f>SUM(K34:K37)</f>
        <v>0</v>
      </c>
      <c r="L38" s="306" t="s">
        <v>1</v>
      </c>
    </row>
    <row r="39" spans="2:15" s="2" customFormat="1" ht="15" customHeight="1" thickTop="1" x14ac:dyDescent="0.15">
      <c r="B39" s="11"/>
      <c r="C39" s="382"/>
      <c r="I39" s="8"/>
      <c r="J39" s="8"/>
      <c r="K39" s="27"/>
      <c r="L39" s="16"/>
    </row>
    <row r="40" spans="2:15" s="2" customFormat="1" ht="15" customHeight="1" x14ac:dyDescent="0.15">
      <c r="C40" s="382" t="s">
        <v>776</v>
      </c>
    </row>
    <row r="41" spans="2:15" s="2" customFormat="1" ht="15" customHeight="1" x14ac:dyDescent="0.15">
      <c r="C41" s="16"/>
    </row>
    <row r="42" spans="2:15" s="2" customFormat="1" ht="15" customHeight="1" x14ac:dyDescent="0.15">
      <c r="C42" s="16"/>
    </row>
    <row r="43" spans="2:15" s="2" customFormat="1" ht="15" customHeight="1" x14ac:dyDescent="0.15">
      <c r="C43" s="16"/>
    </row>
    <row r="44" spans="2:15" s="2" customFormat="1" ht="15" customHeight="1" x14ac:dyDescent="0.15">
      <c r="C44" s="16"/>
      <c r="D44" s="1"/>
      <c r="O44" s="16"/>
    </row>
    <row r="45" spans="2:15" ht="15" customHeight="1" x14ac:dyDescent="0.15">
      <c r="C45" s="2"/>
      <c r="K45" s="30"/>
      <c r="O45" s="2"/>
    </row>
    <row r="46" spans="2:15" ht="16.5" customHeight="1" x14ac:dyDescent="0.15">
      <c r="L46" s="30" t="s">
        <v>32</v>
      </c>
    </row>
    <row r="54" spans="2:12" s="9" customFormat="1" ht="16.5" customHeight="1" x14ac:dyDescent="0.15">
      <c r="B54" s="1"/>
      <c r="C54" s="1"/>
      <c r="D54" s="1"/>
      <c r="E54" s="1"/>
      <c r="F54" s="1"/>
      <c r="G54" s="1"/>
      <c r="H54" s="1"/>
      <c r="I54" s="1"/>
      <c r="J54" s="1"/>
      <c r="K54" s="1"/>
      <c r="L54" s="1"/>
    </row>
    <row r="55" spans="2:12" s="9" customFormat="1" ht="16.5" customHeight="1" x14ac:dyDescent="0.15">
      <c r="B55" s="1"/>
      <c r="C55" s="1"/>
      <c r="D55" s="1"/>
      <c r="E55" s="1"/>
      <c r="F55" s="1"/>
      <c r="G55" s="1"/>
      <c r="H55" s="1"/>
      <c r="I55" s="1"/>
      <c r="J55" s="1"/>
      <c r="K55" s="1"/>
      <c r="L55" s="1"/>
    </row>
  </sheetData>
  <mergeCells count="15">
    <mergeCell ref="D11:K11"/>
    <mergeCell ref="G13:K13"/>
    <mergeCell ref="B14:G14"/>
    <mergeCell ref="K14:L14"/>
    <mergeCell ref="J2:K2"/>
    <mergeCell ref="C4:F4"/>
    <mergeCell ref="H34:J34"/>
    <mergeCell ref="H38:J38"/>
    <mergeCell ref="D15:G15"/>
    <mergeCell ref="K16:L16"/>
    <mergeCell ref="C19:G19"/>
    <mergeCell ref="C20:G20"/>
    <mergeCell ref="H15:J15"/>
    <mergeCell ref="C24:G24"/>
    <mergeCell ref="C25:G25"/>
  </mergeCells>
  <phoneticPr fontId="4"/>
  <printOptions horizontalCentered="1" verticalCentered="1"/>
  <pageMargins left="0.39370078740157483" right="0.39370078740157483" top="0.39370078740157483" bottom="0" header="0" footer="0"/>
  <pageSetup paperSize="9" orientation="portrait" blackAndWhite="1"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B93D3092-E903-467A-88C8-8FFEC78E6938}">
          <x14:formula1>
            <xm:f>'住宅性能評価、長期使用'!$G$4:$G$7</xm:f>
          </x14:formula1>
          <xm:sqref>C19:G19</xm:sqref>
        </x14:dataValidation>
        <x14:dataValidation type="list" allowBlank="1" showInputMessage="1" showErrorMessage="1" xr:uid="{C4B94F62-8FC3-4374-BEC2-D4DF31B8B5CD}">
          <x14:formula1>
            <xm:f>'住宅性能評価、長期使用'!$G$11:$G$17</xm:f>
          </x14:formula1>
          <xm:sqref>C24:G24</xm:sqref>
        </x14:dataValidation>
        <x14:dataValidation type="list" allowBlank="1" showInputMessage="1" showErrorMessage="1" xr:uid="{2B26848A-6C5B-4EEB-8E57-BAD50D8B7521}">
          <x14:formula1>
            <xm:f>'住宅性能評価、長期使用'!$G$18:$G$20</xm:f>
          </x14:formula1>
          <xm:sqref>C25:G25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87E3A-DD89-49E8-BAFE-2582BD30B932}">
  <sheetPr>
    <tabColor rgb="FFFFFF00"/>
  </sheetPr>
  <dimension ref="B1:AF63"/>
  <sheetViews>
    <sheetView view="pageBreakPreview" zoomScaleNormal="100" zoomScaleSheetLayoutView="100" workbookViewId="0">
      <selection activeCell="C18" sqref="C18:D18"/>
    </sheetView>
  </sheetViews>
  <sheetFormatPr defaultColWidth="3.625" defaultRowHeight="16.5" customHeight="1" x14ac:dyDescent="0.15"/>
  <cols>
    <col min="1" max="1" width="0.625" style="1" customWidth="1"/>
    <col min="2" max="2" width="2.75" style="1" customWidth="1"/>
    <col min="3" max="3" width="19.625" style="1" customWidth="1"/>
    <col min="4" max="4" width="17.625" style="1" customWidth="1"/>
    <col min="5" max="5" width="5.25" style="1" customWidth="1"/>
    <col min="6" max="6" width="4.75" style="1" customWidth="1"/>
    <col min="7" max="7" width="7.25" style="1" customWidth="1"/>
    <col min="8" max="9" width="4.75" style="1" customWidth="1"/>
    <col min="10" max="10" width="9.125" style="1" customWidth="1"/>
    <col min="11" max="11" width="13.25" style="1" customWidth="1"/>
    <col min="12" max="12" width="2.75" style="1" customWidth="1"/>
    <col min="13" max="13" width="0.625" style="1" customWidth="1"/>
    <col min="14" max="16384" width="3.625" style="1"/>
  </cols>
  <sheetData>
    <row r="1" spans="2:15" ht="19.5" customHeight="1" x14ac:dyDescent="0.15">
      <c r="B1" s="204" t="s">
        <v>29</v>
      </c>
      <c r="C1" s="205"/>
      <c r="D1" s="204"/>
      <c r="E1" s="206"/>
      <c r="F1" s="206"/>
      <c r="G1" s="206"/>
      <c r="H1" s="205"/>
      <c r="I1" s="205"/>
      <c r="J1" s="205"/>
      <c r="K1" s="205"/>
      <c r="L1" s="205"/>
    </row>
    <row r="2" spans="2:15" ht="15" customHeight="1" x14ac:dyDescent="0.15">
      <c r="B2" s="160"/>
      <c r="C2" s="160"/>
      <c r="D2" s="160"/>
      <c r="E2" s="207"/>
      <c r="F2" s="207"/>
      <c r="G2" s="207"/>
      <c r="H2" s="207"/>
      <c r="I2" s="207"/>
      <c r="J2" s="733">
        <f ca="1">TODAY()</f>
        <v>45848</v>
      </c>
      <c r="K2" s="733"/>
      <c r="L2" s="207"/>
    </row>
    <row r="3" spans="2:15" ht="15" customHeight="1" x14ac:dyDescent="0.15">
      <c r="B3" s="160"/>
      <c r="C3" s="160"/>
      <c r="D3" s="160"/>
      <c r="E3" s="207"/>
      <c r="F3" s="207"/>
      <c r="G3" s="207"/>
      <c r="H3" s="207"/>
      <c r="I3" s="207"/>
      <c r="J3" s="378"/>
      <c r="K3" s="378"/>
      <c r="L3" s="207"/>
    </row>
    <row r="4" spans="2:15" ht="15" customHeight="1" x14ac:dyDescent="0.15">
      <c r="B4" s="160"/>
      <c r="C4" s="734" t="str">
        <f>+入力シート!E9&amp;"　　"&amp;入力シート!G9</f>
        <v>　　御中</v>
      </c>
      <c r="D4" s="735"/>
      <c r="E4" s="736"/>
      <c r="F4" s="736"/>
      <c r="G4" s="160"/>
      <c r="H4" s="160"/>
      <c r="I4" s="160"/>
      <c r="J4" s="160"/>
      <c r="K4" s="160"/>
      <c r="L4" s="160"/>
    </row>
    <row r="5" spans="2:15" ht="15" customHeight="1" x14ac:dyDescent="0.15">
      <c r="B5" s="160"/>
      <c r="C5" s="162"/>
      <c r="D5" s="160"/>
      <c r="E5" s="160"/>
      <c r="F5" s="160"/>
      <c r="G5" s="160"/>
      <c r="H5" s="160"/>
      <c r="I5" s="160"/>
      <c r="J5" s="160"/>
      <c r="K5" s="160"/>
      <c r="L5" s="160"/>
    </row>
    <row r="6" spans="2:15" ht="15" customHeight="1" x14ac:dyDescent="0.15">
      <c r="B6" s="160"/>
      <c r="C6" s="160"/>
      <c r="D6" s="160"/>
      <c r="E6" s="160"/>
      <c r="F6" s="160"/>
      <c r="G6" s="160"/>
      <c r="H6" s="158" t="str" cm="1">
        <f t="array" ref="H6">_xlfn.IFS(入力シート!$E$8=基本入力データシート!$D$3,基本入力データシート!$E$3,入力シート!$E$8=基本入力データシート!$D$7,基本入力データシート!$E$7,入力シート!$E$8=基本入力データシート!$D$8,基本入力データシート!$E$8,入力シート!$E$8=基本入力データシート!$D$4,基本入力データシート!$E$4,入力シート!$E$8=基本入力データシート!$D$5,基本入力データシート!$E$5,入力シート!$E$8=基本入力データシート!$D$6,基本入力データシート!$E$6)</f>
        <v>〒150-0002  東京都渋谷区渋谷1-13-9</v>
      </c>
      <c r="I6" s="159"/>
      <c r="J6" s="160"/>
      <c r="K6" s="160"/>
      <c r="L6" s="160"/>
    </row>
    <row r="7" spans="2:15" ht="15" customHeight="1" x14ac:dyDescent="0.15">
      <c r="B7" s="160"/>
      <c r="C7" s="160"/>
      <c r="D7" s="160"/>
      <c r="E7" s="160"/>
      <c r="F7" s="160"/>
      <c r="G7" s="160"/>
      <c r="H7" s="158" t="str" cm="1">
        <f t="array" ref="H7">_xlfn.IFS(入力シート!$E$8=基本入力データシート!$D$3,基本入力データシート!$F$3,入力シート!$E$8=基本入力データシート!$D$7,基本入力データシート!$F$7,入力シート!$E$8=基本入力データシート!$D$8,基本入力データシート!$F$8,入力シート!$E$8=基本入力データシート!$D$4,基本入力データシート!$F$4,入力シート!$E$8=基本入力データシート!$D$5,基本入力データシート!$F$5,入力シート!$E$8=基本入力データシート!$D$6,基本入力データシート!$F$6)</f>
        <v>株式会社 J 建築検査センター</v>
      </c>
      <c r="I7" s="161"/>
      <c r="J7" s="160"/>
      <c r="K7" s="160"/>
      <c r="L7" s="208"/>
      <c r="M7" s="5"/>
    </row>
    <row r="8" spans="2:15" ht="15" customHeight="1" x14ac:dyDescent="0.15">
      <c r="B8" s="160"/>
      <c r="C8" s="160"/>
      <c r="D8" s="160"/>
      <c r="E8" s="160"/>
      <c r="F8" s="160"/>
      <c r="G8" s="160"/>
      <c r="H8" s="158" t="str" cm="1">
        <f t="array" ref="H8">_xlfn.IFS(入力シート!$E$8=基本入力データシート!$D$3,基本入力データシート!$G$3,入力シート!$E$8=基本入力データシート!$D$7,基本入力データシート!$G$7,入力シート!$E$8=基本入力データシート!$D$8,基本入力データシート!$G$8,入力シート!$E$8=基本入力データシート!$D$4,基本入力データシート!$G$4,入力シート!$E$8=基本入力データシート!$D$5,基本入力データシート!$G$5,入力シート!$E$8=基本入力データシート!$D$6,基本入力データシート!$G$6)</f>
        <v>TEL:03-5464-7778　FAX:03-5464-7779</v>
      </c>
      <c r="I8" s="161"/>
      <c r="J8" s="160"/>
      <c r="K8" s="160"/>
      <c r="L8" s="160"/>
    </row>
    <row r="9" spans="2:15" ht="15" customHeight="1" x14ac:dyDescent="0.15">
      <c r="B9" s="160"/>
      <c r="C9" s="209" t="s">
        <v>3</v>
      </c>
      <c r="D9" s="160"/>
      <c r="E9" s="160"/>
      <c r="F9" s="160"/>
      <c r="G9" s="160"/>
      <c r="H9" s="160"/>
      <c r="I9" s="161"/>
      <c r="J9" s="160"/>
      <c r="K9" s="160"/>
      <c r="L9" s="160"/>
    </row>
    <row r="10" spans="2:15" ht="11.25" customHeight="1" x14ac:dyDescent="0.15">
      <c r="B10" s="160"/>
      <c r="C10" s="210"/>
      <c r="D10" s="210"/>
      <c r="E10" s="210"/>
      <c r="F10" s="210"/>
      <c r="G10" s="210"/>
      <c r="H10" s="210"/>
      <c r="I10" s="210"/>
      <c r="J10" s="210"/>
      <c r="K10" s="210"/>
      <c r="L10" s="160"/>
    </row>
    <row r="11" spans="2:15" s="10" customFormat="1" ht="24" customHeight="1" x14ac:dyDescent="0.15">
      <c r="B11" s="211"/>
      <c r="C11" s="212" t="s">
        <v>7</v>
      </c>
      <c r="D11" s="737">
        <f>+入力シート!E10</f>
        <v>0</v>
      </c>
      <c r="E11" s="738"/>
      <c r="F11" s="738"/>
      <c r="G11" s="738"/>
      <c r="H11" s="738"/>
      <c r="I11" s="738"/>
      <c r="J11" s="738"/>
      <c r="K11" s="738"/>
      <c r="L11" s="211"/>
    </row>
    <row r="12" spans="2:15" s="10" customFormat="1" ht="24" customHeight="1" x14ac:dyDescent="0.15">
      <c r="B12" s="211"/>
      <c r="C12" s="213" t="s">
        <v>6</v>
      </c>
      <c r="D12" s="163">
        <f>+K43</f>
        <v>0</v>
      </c>
      <c r="E12" s="214" t="s">
        <v>14</v>
      </c>
      <c r="F12" s="214"/>
      <c r="G12" s="214"/>
      <c r="H12" s="214"/>
      <c r="I12" s="215"/>
      <c r="J12" s="215"/>
      <c r="K12" s="215"/>
      <c r="L12" s="211"/>
    </row>
    <row r="13" spans="2:15" s="2" customFormat="1" ht="15" customHeight="1" x14ac:dyDescent="0.15">
      <c r="B13" s="219"/>
      <c r="C13" s="216" t="s">
        <v>4</v>
      </c>
      <c r="D13" s="217" t="s">
        <v>8</v>
      </c>
      <c r="E13" s="218" t="s">
        <v>5</v>
      </c>
      <c r="F13" s="216"/>
      <c r="G13" s="739"/>
      <c r="H13" s="740"/>
      <c r="I13" s="740"/>
      <c r="J13" s="740"/>
      <c r="K13" s="740"/>
      <c r="L13" s="158"/>
      <c r="O13" s="10"/>
    </row>
    <row r="14" spans="2:15" s="2" customFormat="1" ht="15" customHeight="1" x14ac:dyDescent="0.15">
      <c r="B14" s="741" t="s">
        <v>9</v>
      </c>
      <c r="C14" s="741"/>
      <c r="D14" s="741"/>
      <c r="E14" s="741"/>
      <c r="F14" s="741"/>
      <c r="G14" s="741"/>
      <c r="H14" s="222" t="s">
        <v>10</v>
      </c>
      <c r="I14" s="223" t="s">
        <v>0</v>
      </c>
      <c r="J14" s="224" t="s">
        <v>11</v>
      </c>
      <c r="K14" s="742" t="s">
        <v>12</v>
      </c>
      <c r="L14" s="741"/>
      <c r="O14" s="10"/>
    </row>
    <row r="15" spans="2:15" s="2" customFormat="1" ht="15" customHeight="1" x14ac:dyDescent="0.15">
      <c r="B15" s="220"/>
      <c r="C15" s="164" t="s">
        <v>28</v>
      </c>
      <c r="D15" s="746" t="str">
        <f>+入力シート!$E$12&amp;入力シート!$F$12&amp;入力シート!$G$12</f>
        <v>東京都</v>
      </c>
      <c r="E15" s="738"/>
      <c r="F15" s="738"/>
      <c r="G15" s="738"/>
      <c r="H15" s="747" t="str">
        <f>+入力シート!E16</f>
        <v>一戸建ての住宅</v>
      </c>
      <c r="I15" s="748"/>
      <c r="J15" s="748"/>
      <c r="K15" s="166" t="str">
        <f>IF(入力シート!F16="","",入力シート!F16)</f>
        <v/>
      </c>
      <c r="L15" s="187" t="str">
        <f>IF(K15="","","戸")</f>
        <v/>
      </c>
      <c r="O15" s="10"/>
    </row>
    <row r="16" spans="2:15" s="2" customFormat="1" ht="15" customHeight="1" x14ac:dyDescent="0.15">
      <c r="B16" s="221"/>
      <c r="C16" s="165" t="s">
        <v>27</v>
      </c>
      <c r="D16" s="167" t="str">
        <f>+入力シート!E14</f>
        <v>木造</v>
      </c>
      <c r="E16" s="189" t="s">
        <v>46</v>
      </c>
      <c r="F16" s="168">
        <f>+入力シート!G14</f>
        <v>2</v>
      </c>
      <c r="G16" s="190" t="s">
        <v>17</v>
      </c>
      <c r="H16" s="187" t="str">
        <f>IF(入力シート!H14="","-",入力シート!H14)</f>
        <v>-</v>
      </c>
      <c r="I16" s="191" t="s">
        <v>31</v>
      </c>
      <c r="J16" s="192" t="s">
        <v>30</v>
      </c>
      <c r="K16" s="749" t="str">
        <f>IFERROR(IF(入力シート!$H$34&lt;&gt;"",入力シート!$H$34,(_xlfn.XLOOKUP(入力シート!$F$14,基本入力データシート!$AG$3:$AG$31,基本入力データシート!$AH$3:$AH$31))),"")</f>
        <v>0-100㎡未満</v>
      </c>
      <c r="L16" s="750"/>
      <c r="O16" s="10"/>
    </row>
    <row r="17" spans="2:15" s="2" customFormat="1" ht="15" customHeight="1" x14ac:dyDescent="0.15">
      <c r="B17" s="333" t="s">
        <v>39</v>
      </c>
      <c r="C17" s="375" t="s">
        <v>644</v>
      </c>
      <c r="D17" s="188"/>
      <c r="E17" s="18"/>
      <c r="F17" s="331"/>
      <c r="G17" s="182"/>
      <c r="H17" s="32"/>
      <c r="I17" s="183"/>
      <c r="J17" s="12"/>
      <c r="K17" s="457"/>
      <c r="L17" s="458"/>
    </row>
    <row r="18" spans="2:15" s="2" customFormat="1" ht="15" customHeight="1" x14ac:dyDescent="0.15">
      <c r="B18" s="353" t="s">
        <v>13</v>
      </c>
      <c r="C18" s="192" t="s">
        <v>181</v>
      </c>
      <c r="D18" s="12"/>
      <c r="E18" s="31"/>
      <c r="F18" s="31"/>
      <c r="G18" s="13"/>
      <c r="H18" s="4"/>
      <c r="I18" s="4"/>
      <c r="J18" s="28"/>
      <c r="K18" s="24"/>
      <c r="L18" s="12"/>
    </row>
    <row r="19" spans="2:15" s="2" customFormat="1" ht="15" customHeight="1" x14ac:dyDescent="0.15">
      <c r="B19" s="335" t="s">
        <v>179</v>
      </c>
      <c r="C19" s="225" t="s">
        <v>131</v>
      </c>
      <c r="D19" s="12"/>
      <c r="E19" s="31"/>
      <c r="F19" s="31"/>
      <c r="G19" s="31"/>
      <c r="H19" s="4"/>
      <c r="I19" s="4"/>
      <c r="J19" s="156"/>
      <c r="K19" s="24"/>
      <c r="L19" s="12"/>
    </row>
    <row r="20" spans="2:15" s="2" customFormat="1" ht="15" customHeight="1" x14ac:dyDescent="0.15">
      <c r="B20" s="185" t="str">
        <f t="shared" ref="B20" si="0">IF($C20="","","・")</f>
        <v/>
      </c>
      <c r="C20" s="757"/>
      <c r="D20" s="773"/>
      <c r="E20" s="31"/>
      <c r="F20" s="31"/>
      <c r="G20" s="31"/>
      <c r="H20" s="174" t="str">
        <f>IF($C20="","",1)</f>
        <v/>
      </c>
      <c r="I20" s="174" t="str">
        <f>IF($C20="","","式")</f>
        <v/>
      </c>
      <c r="J20" s="175" t="str">
        <f>IFERROR(INDEX(BELS料金表データ!B4:D24,MATCH($K$16,BELS料金表データ!A4:A24,0),MATCH($C20,BELS料金表データ!B4:D4,0)),"")</f>
        <v/>
      </c>
      <c r="K20" s="176" t="str">
        <f>IFERROR(+J20*H20,"")</f>
        <v/>
      </c>
      <c r="L20" s="185" t="str">
        <f>IF($C20="","","-")</f>
        <v/>
      </c>
    </row>
    <row r="21" spans="2:15" s="2" customFormat="1" ht="15" customHeight="1" x14ac:dyDescent="0.15">
      <c r="B21" s="335" t="s">
        <v>180</v>
      </c>
      <c r="C21" s="225" t="s">
        <v>90</v>
      </c>
      <c r="D21" s="12"/>
      <c r="E21" s="31"/>
      <c r="F21" s="31"/>
      <c r="G21" s="31"/>
      <c r="H21" s="177"/>
      <c r="I21" s="177"/>
      <c r="J21" s="178"/>
      <c r="K21" s="179"/>
      <c r="L21" s="186"/>
    </row>
    <row r="22" spans="2:15" s="2" customFormat="1" ht="15" customHeight="1" x14ac:dyDescent="0.15">
      <c r="B22" s="185" t="str">
        <f t="shared" ref="B22" si="1">IF($C22="","","・")</f>
        <v/>
      </c>
      <c r="C22" s="757"/>
      <c r="D22" s="773"/>
      <c r="E22" s="31"/>
      <c r="F22" s="31"/>
      <c r="G22" s="31"/>
      <c r="H22" s="174" t="str">
        <f>IF($C22="","",1)</f>
        <v/>
      </c>
      <c r="I22" s="174" t="str">
        <f>IF($C22="","","式")</f>
        <v/>
      </c>
      <c r="J22" s="175" t="str">
        <f>IFERROR(INDEX(BELS料金表データ!G4:H24,MATCH($K$16,BELS料金表データ!A4:A24,0),MATCH($C22,BELS料金表データ!G4:H4,0)),"")</f>
        <v/>
      </c>
      <c r="K22" s="176" t="str">
        <f>IFERROR(+J22*H22,"")</f>
        <v/>
      </c>
      <c r="L22" s="185" t="str">
        <f>IF($C22="","","-")</f>
        <v/>
      </c>
    </row>
    <row r="23" spans="2:15" s="2" customFormat="1" ht="15" customHeight="1" x14ac:dyDescent="0.15">
      <c r="B23" s="335" t="s">
        <v>13</v>
      </c>
      <c r="C23" s="225" t="s">
        <v>651</v>
      </c>
      <c r="D23" s="12"/>
      <c r="E23" s="31"/>
      <c r="F23" s="31"/>
      <c r="G23" s="31"/>
      <c r="H23" s="177"/>
      <c r="I23" s="177"/>
      <c r="J23" s="178"/>
      <c r="K23" s="179"/>
      <c r="L23" s="186"/>
    </row>
    <row r="24" spans="2:15" s="2" customFormat="1" ht="15" customHeight="1" x14ac:dyDescent="0.15">
      <c r="B24" s="185" t="str">
        <f t="shared" ref="B24:B26" si="2">IF($C24="","","・")</f>
        <v/>
      </c>
      <c r="C24" s="757"/>
      <c r="D24" s="796"/>
      <c r="E24" s="779"/>
      <c r="F24" s="779"/>
      <c r="G24" s="780"/>
      <c r="H24" s="174" t="str">
        <f t="shared" ref="H24" si="3">IF($C24="","",1)</f>
        <v/>
      </c>
      <c r="I24" s="174" t="str">
        <f>IF($C24="","","式")</f>
        <v/>
      </c>
      <c r="J24" s="175" t="str">
        <f>IFERROR(_xlfn.XLOOKUP(C24,BELS料金表データ!J5:J9,BELS料金表データ!K5:K9),"")</f>
        <v/>
      </c>
      <c r="K24" s="176" t="str">
        <f>IFERROR(+J24*H24,"")</f>
        <v/>
      </c>
      <c r="L24" s="185" t="str">
        <f t="shared" ref="L24:L25" si="4">IF($C24="","","-")</f>
        <v/>
      </c>
    </row>
    <row r="25" spans="2:15" s="2" customFormat="1" ht="15" customHeight="1" x14ac:dyDescent="0.15">
      <c r="B25" s="185" t="str">
        <f t="shared" si="2"/>
        <v/>
      </c>
      <c r="C25" s="743" t="str" cm="1">
        <f t="array" ref="C25">+_xlfn.IFS(C24=BELS料金表データ!J5,"",C24=BELS料金表データ!J6,"",C24=BELS料金表データ!J7,"",C24=BELS料金表データ!J8,BELS料金表データ!J11,C24=BELS料金表データ!J9,BELS料金表データ!J12,C24="","")</f>
        <v/>
      </c>
      <c r="D25" s="744"/>
      <c r="E25" s="776"/>
      <c r="F25" s="776"/>
      <c r="G25" s="777"/>
      <c r="H25" s="260" t="str">
        <f>+IF(C25="","",$K$15)</f>
        <v/>
      </c>
      <c r="I25" s="174" t="str">
        <f>IF($C25="","","戸")</f>
        <v/>
      </c>
      <c r="J25" s="175" t="str">
        <f>IFERROR(_xlfn.XLOOKUP(C25,BELS料金表データ!J11:J12,BELS料金表データ!K11:K12),"")</f>
        <v/>
      </c>
      <c r="K25" s="176" t="str">
        <f>IFERROR(+J25*H25,"")</f>
        <v/>
      </c>
      <c r="L25" s="185" t="str">
        <f t="shared" si="4"/>
        <v/>
      </c>
    </row>
    <row r="26" spans="2:15" s="2" customFormat="1" ht="15" customHeight="1" x14ac:dyDescent="0.15">
      <c r="B26" s="185" t="str">
        <f t="shared" si="2"/>
        <v/>
      </c>
      <c r="C26" s="757"/>
      <c r="D26" s="796"/>
      <c r="E26" s="779"/>
      <c r="F26" s="779"/>
      <c r="G26" s="779"/>
      <c r="H26" s="754"/>
      <c r="I26" s="754"/>
      <c r="J26" s="755"/>
      <c r="K26" s="175" t="str">
        <f>IF(C26="","",-_xlfn.AGGREGATE(9,7,K24:K25)/2)</f>
        <v/>
      </c>
      <c r="L26" s="185" t="str">
        <f>IF($C26="","","-")</f>
        <v/>
      </c>
    </row>
    <row r="27" spans="2:15" s="2" customFormat="1" ht="15" customHeight="1" x14ac:dyDescent="0.15">
      <c r="B27" s="185" t="s">
        <v>738</v>
      </c>
      <c r="C27" s="192" t="s">
        <v>882</v>
      </c>
      <c r="D27" s="384"/>
      <c r="E27" s="384"/>
      <c r="F27" s="377"/>
      <c r="G27" s="377"/>
      <c r="H27" s="177"/>
      <c r="I27" s="177"/>
      <c r="J27" s="178"/>
      <c r="K27" s="666"/>
      <c r="L27" s="186"/>
      <c r="O27" s="270"/>
    </row>
    <row r="28" spans="2:15" s="2" customFormat="1" ht="15" customHeight="1" x14ac:dyDescent="0.15">
      <c r="B28" s="185" t="str">
        <f>IF($C28="","","・")</f>
        <v/>
      </c>
      <c r="C28" s="487" t="str">
        <f>IF(基本入力データシート!M54=TRUE,BELS料金表データ!J16,"")</f>
        <v/>
      </c>
      <c r="D28" s="303"/>
      <c r="E28" s="377"/>
      <c r="F28" s="377"/>
      <c r="G28" s="385"/>
      <c r="H28" s="174" t="str">
        <f>IF($C28="","",1)</f>
        <v/>
      </c>
      <c r="I28" s="174" t="str">
        <f>IF($C28="","","戸")</f>
        <v/>
      </c>
      <c r="J28" s="175" t="str" cm="1">
        <f t="array" ref="J28">IFERROR(_xlfn.XLOOKUP(C28,BELS料金表データ!J16:J16,BELS料金表データ!K16:K16),"")</f>
        <v/>
      </c>
      <c r="K28" s="176" t="str">
        <f>IFERROR(+J28*H28,"")</f>
        <v/>
      </c>
      <c r="L28" s="185" t="str">
        <f>IF($C28="","","-")</f>
        <v/>
      </c>
    </row>
    <row r="29" spans="2:15" s="2" customFormat="1" ht="15" customHeight="1" x14ac:dyDescent="0.15">
      <c r="B29" s="352"/>
      <c r="C29" s="303"/>
      <c r="D29" s="303"/>
      <c r="E29" s="31"/>
      <c r="F29" s="31"/>
      <c r="G29" s="31"/>
      <c r="H29" s="177"/>
      <c r="I29" s="177"/>
      <c r="J29" s="178"/>
      <c r="K29" s="179"/>
      <c r="L29" s="186"/>
    </row>
    <row r="30" spans="2:15" s="2" customFormat="1" ht="15" customHeight="1" x14ac:dyDescent="0.15">
      <c r="B30" s="353" t="s">
        <v>13</v>
      </c>
      <c r="C30" s="192" t="s">
        <v>1109</v>
      </c>
      <c r="D30" s="303"/>
      <c r="E30" s="377"/>
      <c r="F30" s="377"/>
      <c r="G30" s="377"/>
      <c r="H30" s="177"/>
      <c r="I30" s="177"/>
      <c r="J30" s="178"/>
      <c r="K30" s="179"/>
      <c r="L30" s="11"/>
    </row>
    <row r="31" spans="2:15" s="2" customFormat="1" ht="15" customHeight="1" x14ac:dyDescent="0.15">
      <c r="B31" s="185" t="str">
        <f>IF($C31="","","・")</f>
        <v/>
      </c>
      <c r="C31" s="757"/>
      <c r="D31" s="754"/>
      <c r="E31" s="754"/>
      <c r="F31" s="754"/>
      <c r="G31" s="754"/>
      <c r="H31" s="754"/>
      <c r="I31" s="755"/>
      <c r="J31" s="175" t="str">
        <f>IFERROR(_xlfn.XLOOKUP(C31,BELS料金表データ!J18:J22,BELS料金表データ!K18:K22),"")</f>
        <v/>
      </c>
      <c r="K31" s="176" t="str">
        <f>IFERROR(+J31,"")</f>
        <v/>
      </c>
      <c r="L31" s="185" t="str">
        <f>IF($C31="","","-")</f>
        <v/>
      </c>
      <c r="O31" s="270"/>
    </row>
    <row r="32" spans="2:15" s="2" customFormat="1" ht="15" customHeight="1" x14ac:dyDescent="0.15">
      <c r="B32" s="352"/>
      <c r="C32" s="303"/>
      <c r="D32" s="303"/>
      <c r="E32" s="31"/>
      <c r="F32" s="31"/>
      <c r="G32" s="31"/>
      <c r="H32" s="177"/>
      <c r="I32" s="177"/>
      <c r="J32" s="178"/>
      <c r="K32" s="179"/>
      <c r="L32" s="186"/>
    </row>
    <row r="33" spans="2:23" s="2" customFormat="1" ht="15" customHeight="1" x14ac:dyDescent="0.15">
      <c r="B33" s="353" t="s">
        <v>13</v>
      </c>
      <c r="C33" s="192" t="s">
        <v>861</v>
      </c>
      <c r="D33" s="303"/>
      <c r="E33" s="377"/>
      <c r="F33" s="377"/>
      <c r="G33" s="377"/>
      <c r="H33" s="177"/>
      <c r="I33" s="177"/>
      <c r="J33" s="178"/>
      <c r="K33" s="179"/>
      <c r="L33" s="11"/>
    </row>
    <row r="34" spans="2:23" s="2" customFormat="1" ht="15" customHeight="1" x14ac:dyDescent="0.15">
      <c r="B34" s="185" t="str">
        <f>IF($C34="","","・")</f>
        <v/>
      </c>
      <c r="C34" s="757"/>
      <c r="D34" s="754"/>
      <c r="E34" s="754"/>
      <c r="F34" s="754"/>
      <c r="G34" s="754"/>
      <c r="H34" s="754"/>
      <c r="I34" s="755"/>
      <c r="J34" s="175" t="str">
        <f>IFERROR(_xlfn.XLOOKUP(C34,BELS料金表データ!L5:L9,BELS料金表データ!M5:M9),"")</f>
        <v/>
      </c>
      <c r="K34" s="176" t="str">
        <f>IFERROR(+J34,"")</f>
        <v/>
      </c>
      <c r="L34" s="185" t="str">
        <f>IF($C34="","","-")</f>
        <v/>
      </c>
      <c r="O34" s="270"/>
    </row>
    <row r="35" spans="2:23" s="2" customFormat="1" ht="15" customHeight="1" x14ac:dyDescent="0.15">
      <c r="B35" s="352"/>
      <c r="C35" s="303"/>
      <c r="D35" s="303"/>
      <c r="E35" s="31"/>
      <c r="F35" s="31"/>
      <c r="G35" s="31"/>
      <c r="H35" s="177"/>
      <c r="I35" s="177"/>
      <c r="J35" s="178"/>
      <c r="K35" s="179"/>
      <c r="L35" s="186"/>
    </row>
    <row r="36" spans="2:23" s="2" customFormat="1" ht="15" customHeight="1" x14ac:dyDescent="0.15">
      <c r="B36" s="335" t="s">
        <v>13</v>
      </c>
      <c r="C36" s="192" t="s">
        <v>739</v>
      </c>
      <c r="D36" s="303"/>
      <c r="E36" s="31"/>
      <c r="F36" s="31"/>
      <c r="G36" s="31"/>
      <c r="H36" s="177"/>
      <c r="I36" s="177"/>
      <c r="J36" s="178"/>
      <c r="K36" s="179"/>
      <c r="L36" s="186"/>
    </row>
    <row r="37" spans="2:23" s="2" customFormat="1" ht="15" customHeight="1" x14ac:dyDescent="0.15">
      <c r="B37" s="185" t="str">
        <f>IF($C37="","","・")</f>
        <v/>
      </c>
      <c r="C37" s="743" t="str">
        <f>IF(入力シート!G68="","",入力シート!G68)</f>
        <v/>
      </c>
      <c r="D37" s="744"/>
      <c r="E37" s="776"/>
      <c r="F37" s="776"/>
      <c r="G37" s="777"/>
      <c r="H37" s="174" t="str">
        <f>IF($C37="","",1)</f>
        <v/>
      </c>
      <c r="I37" s="174" t="str">
        <f>IF($C37="","","式")</f>
        <v/>
      </c>
      <c r="J37" s="175" t="str">
        <f>IFERROR(_xlfn.XLOOKUP(C37,BELS料金表データ!N5:N14,BELS料金表データ!O5:O14),"")</f>
        <v/>
      </c>
      <c r="K37" s="176" t="str">
        <f>IFERROR(+J37*H37,"")</f>
        <v/>
      </c>
      <c r="L37" s="185" t="str">
        <f>IF($C37="","","-")</f>
        <v/>
      </c>
    </row>
    <row r="38" spans="2:23" s="2" customFormat="1" ht="15" customHeight="1" x14ac:dyDescent="0.15">
      <c r="B38" s="352"/>
      <c r="C38" s="303"/>
      <c r="D38" s="303"/>
      <c r="E38" s="31"/>
      <c r="F38" s="31"/>
      <c r="G38" s="31"/>
      <c r="H38" s="177"/>
      <c r="I38" s="177"/>
      <c r="J38" s="178"/>
      <c r="K38" s="179"/>
      <c r="L38" s="186"/>
    </row>
    <row r="39" spans="2:23" s="2" customFormat="1" ht="15" customHeight="1" x14ac:dyDescent="0.15">
      <c r="B39" s="336"/>
      <c r="C39" s="354"/>
      <c r="D39" s="354"/>
      <c r="E39" s="249"/>
      <c r="F39" s="249"/>
      <c r="G39" s="285"/>
      <c r="H39" s="766" t="s">
        <v>21</v>
      </c>
      <c r="I39" s="767"/>
      <c r="J39" s="768"/>
      <c r="K39" s="171">
        <f>SUM(K18:K37)</f>
        <v>0</v>
      </c>
      <c r="L39" s="305" t="s">
        <v>1</v>
      </c>
    </row>
    <row r="40" spans="2:23" s="2" customFormat="1" ht="15" customHeight="1" x14ac:dyDescent="0.15">
      <c r="B40" s="22"/>
      <c r="C40" s="6"/>
      <c r="D40" s="19"/>
      <c r="E40" s="284"/>
      <c r="F40" s="284"/>
      <c r="G40" s="284"/>
      <c r="H40" s="177"/>
      <c r="I40" s="177"/>
      <c r="J40" s="178"/>
      <c r="K40" s="179"/>
      <c r="L40" s="186"/>
    </row>
    <row r="41" spans="2:23" s="2" customFormat="1" ht="15" customHeight="1" x14ac:dyDescent="0.15">
      <c r="B41" s="23"/>
      <c r="C41" s="259" t="s">
        <v>37</v>
      </c>
      <c r="D41" s="20"/>
      <c r="E41" s="21"/>
      <c r="F41" s="21"/>
      <c r="G41" s="21"/>
      <c r="H41" s="25"/>
      <c r="I41" s="4"/>
      <c r="J41" s="29"/>
      <c r="K41" s="170">
        <f>K39*0.1</f>
        <v>0</v>
      </c>
      <c r="L41" s="185" t="s">
        <v>14</v>
      </c>
    </row>
    <row r="42" spans="2:23" s="2" customFormat="1" ht="15" customHeight="1" x14ac:dyDescent="0.15">
      <c r="B42" s="247"/>
      <c r="C42" s="248"/>
      <c r="D42" s="15"/>
      <c r="E42" s="249"/>
      <c r="F42" s="249"/>
      <c r="G42" s="249"/>
      <c r="H42" s="250"/>
      <c r="I42" s="250"/>
      <c r="J42" s="251"/>
      <c r="K42" s="252"/>
      <c r="L42" s="304"/>
      <c r="W42" s="10"/>
    </row>
    <row r="43" spans="2:23" s="2" customFormat="1" ht="15" customHeight="1" thickBot="1" x14ac:dyDescent="0.2">
      <c r="C43" s="2" t="s">
        <v>91</v>
      </c>
      <c r="H43" s="758" t="s">
        <v>2</v>
      </c>
      <c r="I43" s="758"/>
      <c r="J43" s="758"/>
      <c r="K43" s="195">
        <f>SUM(K39:K42)</f>
        <v>0</v>
      </c>
      <c r="L43" s="306" t="s">
        <v>1</v>
      </c>
      <c r="W43" s="10"/>
    </row>
    <row r="44" spans="2:23" s="2" customFormat="1" ht="15" customHeight="1" thickTop="1" x14ac:dyDescent="0.15">
      <c r="B44" s="11"/>
      <c r="C44" s="16"/>
      <c r="I44" s="8"/>
      <c r="J44" s="8"/>
      <c r="K44" s="27"/>
      <c r="L44" s="16"/>
      <c r="W44" s="10"/>
    </row>
    <row r="45" spans="2:23" s="2" customFormat="1" ht="15" customHeight="1" x14ac:dyDescent="0.15">
      <c r="C45" s="16" t="s">
        <v>658</v>
      </c>
      <c r="W45" s="10"/>
    </row>
    <row r="46" spans="2:23" s="2" customFormat="1" ht="15" customHeight="1" x14ac:dyDescent="0.15">
      <c r="C46" s="16" t="s">
        <v>777</v>
      </c>
      <c r="W46" s="10"/>
    </row>
    <row r="47" spans="2:23" s="2" customFormat="1" ht="15" customHeight="1" x14ac:dyDescent="0.15">
      <c r="C47" s="2" t="s">
        <v>659</v>
      </c>
      <c r="W47" s="10"/>
    </row>
    <row r="48" spans="2:23" s="2" customFormat="1" ht="15" customHeight="1" x14ac:dyDescent="0.15">
      <c r="C48" s="2" t="s">
        <v>778</v>
      </c>
      <c r="W48" s="10"/>
    </row>
    <row r="49" spans="2:32" s="2" customFormat="1" ht="15" customHeight="1" x14ac:dyDescent="0.15">
      <c r="W49" s="10"/>
    </row>
    <row r="50" spans="2:32" ht="16.5" customHeight="1" x14ac:dyDescent="0.15">
      <c r="L50" s="30" t="s">
        <v>32</v>
      </c>
      <c r="W50" s="10"/>
    </row>
    <row r="51" spans="2:32" ht="16.5" customHeight="1" x14ac:dyDescent="0.15">
      <c r="W51" s="10"/>
    </row>
    <row r="52" spans="2:32" ht="16.5" customHeight="1" x14ac:dyDescent="0.15">
      <c r="W52" s="10"/>
    </row>
    <row r="53" spans="2:32" ht="16.5" customHeight="1" x14ac:dyDescent="0.15">
      <c r="W53" s="10"/>
    </row>
    <row r="54" spans="2:32" ht="16.5" customHeight="1" x14ac:dyDescent="0.15">
      <c r="W54" s="10"/>
    </row>
    <row r="55" spans="2:32" ht="16.5" customHeight="1" x14ac:dyDescent="0.15">
      <c r="W55" s="355"/>
    </row>
    <row r="56" spans="2:32" ht="16.5" customHeight="1" x14ac:dyDescent="0.15">
      <c r="W56" s="10"/>
    </row>
    <row r="57" spans="2:32" s="9" customFormat="1" ht="16.5" customHeight="1" x14ac:dyDescent="0.15">
      <c r="B57" s="1"/>
      <c r="C57" s="1"/>
      <c r="D57" s="1"/>
      <c r="E57" s="1"/>
      <c r="F57" s="1"/>
      <c r="G57" s="1"/>
      <c r="H57" s="1"/>
      <c r="I57" s="1"/>
      <c r="J57" s="1"/>
      <c r="K57" s="1"/>
      <c r="L57" s="1"/>
      <c r="W57" s="10"/>
    </row>
    <row r="58" spans="2:32" s="9" customFormat="1" ht="16.5" customHeight="1" x14ac:dyDescent="0.15">
      <c r="B58" s="1"/>
      <c r="C58" s="1"/>
      <c r="D58" s="1"/>
      <c r="E58" s="1"/>
      <c r="F58" s="1"/>
      <c r="G58" s="1"/>
      <c r="H58" s="1"/>
      <c r="I58" s="1"/>
      <c r="J58" s="1"/>
      <c r="K58" s="1"/>
      <c r="L58" s="1"/>
      <c r="W58" s="10"/>
    </row>
    <row r="59" spans="2:32" ht="16.5" customHeight="1" x14ac:dyDescent="0.15">
      <c r="V59" s="9"/>
      <c r="W59" s="10"/>
      <c r="X59" s="9"/>
      <c r="Y59" s="9"/>
      <c r="Z59" s="9"/>
      <c r="AA59" s="9"/>
      <c r="AB59" s="9"/>
      <c r="AC59" s="9"/>
      <c r="AD59" s="9"/>
      <c r="AE59" s="9"/>
      <c r="AF59" s="9"/>
    </row>
    <row r="60" spans="2:32" ht="16.5" customHeight="1" x14ac:dyDescent="0.15">
      <c r="V60" s="9"/>
      <c r="W60" s="10"/>
      <c r="X60" s="9"/>
      <c r="Y60" s="9"/>
      <c r="Z60" s="9"/>
      <c r="AA60" s="9"/>
      <c r="AB60" s="9"/>
      <c r="AC60" s="9"/>
      <c r="AD60" s="9"/>
      <c r="AE60" s="9"/>
      <c r="AF60" s="9"/>
    </row>
    <row r="61" spans="2:32" ht="16.5" customHeight="1" x14ac:dyDescent="0.15">
      <c r="V61" s="9"/>
      <c r="W61" s="10"/>
      <c r="X61" s="9"/>
      <c r="Y61" s="9"/>
      <c r="Z61" s="9"/>
      <c r="AA61" s="9"/>
      <c r="AB61" s="9"/>
      <c r="AC61" s="9"/>
      <c r="AD61" s="9"/>
      <c r="AE61" s="9"/>
      <c r="AF61" s="9"/>
    </row>
    <row r="62" spans="2:32" ht="16.5" customHeight="1" x14ac:dyDescent="0.15">
      <c r="V62" s="9"/>
      <c r="W62" s="10"/>
      <c r="X62" s="9"/>
      <c r="Y62" s="9"/>
      <c r="Z62" s="9"/>
      <c r="AA62" s="9"/>
      <c r="AB62" s="9"/>
      <c r="AC62" s="9"/>
      <c r="AD62" s="9"/>
      <c r="AE62" s="9"/>
      <c r="AF62" s="9"/>
    </row>
    <row r="63" spans="2:32" ht="16.5" customHeight="1" x14ac:dyDescent="0.15">
      <c r="V63" s="9"/>
      <c r="W63" s="10"/>
      <c r="X63" s="9"/>
      <c r="Y63" s="9"/>
      <c r="Z63" s="9"/>
      <c r="AA63" s="9"/>
      <c r="AB63" s="9"/>
      <c r="AC63" s="9"/>
      <c r="AD63" s="9"/>
      <c r="AE63" s="9"/>
      <c r="AF63" s="9"/>
    </row>
  </sheetData>
  <dataConsolidate/>
  <mergeCells count="19">
    <mergeCell ref="C22:D22"/>
    <mergeCell ref="D11:K11"/>
    <mergeCell ref="G13:K13"/>
    <mergeCell ref="B14:G14"/>
    <mergeCell ref="K14:L14"/>
    <mergeCell ref="K16:L16"/>
    <mergeCell ref="J2:K2"/>
    <mergeCell ref="D15:G15"/>
    <mergeCell ref="C20:D20"/>
    <mergeCell ref="C4:F4"/>
    <mergeCell ref="H15:J15"/>
    <mergeCell ref="H39:J39"/>
    <mergeCell ref="H43:J43"/>
    <mergeCell ref="C24:G24"/>
    <mergeCell ref="C25:G25"/>
    <mergeCell ref="C37:G37"/>
    <mergeCell ref="C26:J26"/>
    <mergeCell ref="C31:I31"/>
    <mergeCell ref="C34:I34"/>
  </mergeCells>
  <phoneticPr fontId="4"/>
  <printOptions horizontalCentered="1" verticalCentered="1"/>
  <pageMargins left="0.39370078740157483" right="0.39370078740157483" top="0.39370078740157483" bottom="0" header="0" footer="0"/>
  <pageSetup paperSize="9" orientation="portrait" blackAndWhite="1"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5C3FE432-FF31-4AC1-B3BF-D2C79DEA625E}">
          <x14:formula1>
            <xm:f>BELS料金表データ!$A$4:$D$4</xm:f>
          </x14:formula1>
          <xm:sqref>C20:D20 C22:D22</xm:sqref>
        </x14:dataValidation>
        <x14:dataValidation type="list" showInputMessage="1" showErrorMessage="1" xr:uid="{F769331D-37A8-4129-BC5A-815EAEF7A71A}">
          <x14:formula1>
            <xm:f>BELS料金表データ!$J$4:$J$9</xm:f>
          </x14:formula1>
          <xm:sqref>C24:G24</xm:sqref>
        </x14:dataValidation>
        <x14:dataValidation type="list" showInputMessage="1" showErrorMessage="1" xr:uid="{57C36F90-8BCE-4094-9D17-C90F261028E4}">
          <x14:formula1>
            <xm:f>BELS料金表データ!$J$13:$J$14</xm:f>
          </x14:formula1>
          <xm:sqref>C26:G26</xm:sqref>
        </x14:dataValidation>
        <x14:dataValidation type="list" showInputMessage="1" showErrorMessage="1" xr:uid="{BB63DFC5-4CD7-4C9F-8FAA-23BBBA3ACD9E}">
          <x14:formula1>
            <xm:f>BELS料金表データ!$L$4:$L$9</xm:f>
          </x14:formula1>
          <xm:sqref>C34:I37</xm:sqref>
        </x14:dataValidation>
        <x14:dataValidation type="list" showInputMessage="1" showErrorMessage="1" xr:uid="{B263102B-2D4A-46B4-9BF0-9AAB17A41015}">
          <x14:formula1>
            <xm:f>BELS料金表データ!$J$17:$J$22</xm:f>
          </x14:formula1>
          <xm:sqref>C31:I31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8147F-06D9-4149-B425-20D8B7E8B3CB}">
  <sheetPr>
    <tabColor rgb="FFFFFF00"/>
  </sheetPr>
  <dimension ref="B1:AF63"/>
  <sheetViews>
    <sheetView view="pageBreakPreview" zoomScaleNormal="100" zoomScaleSheetLayoutView="100" workbookViewId="0">
      <selection activeCell="C18" sqref="C18:D18"/>
    </sheetView>
  </sheetViews>
  <sheetFormatPr defaultColWidth="3.625" defaultRowHeight="16.5" customHeight="1" x14ac:dyDescent="0.15"/>
  <cols>
    <col min="1" max="1" width="0.625" style="1" customWidth="1"/>
    <col min="2" max="2" width="2.75" style="1" customWidth="1"/>
    <col min="3" max="3" width="19.625" style="1" customWidth="1"/>
    <col min="4" max="4" width="17.625" style="1" customWidth="1"/>
    <col min="5" max="5" width="5.25" style="1" customWidth="1"/>
    <col min="6" max="6" width="4.75" style="1" customWidth="1"/>
    <col min="7" max="7" width="7.25" style="1" customWidth="1"/>
    <col min="8" max="9" width="4.75" style="1" customWidth="1"/>
    <col min="10" max="10" width="8.75" style="1" customWidth="1"/>
    <col min="11" max="11" width="13.25" style="1" customWidth="1"/>
    <col min="12" max="12" width="2.75" style="1" customWidth="1"/>
    <col min="13" max="13" width="0.625" style="1" customWidth="1"/>
    <col min="14" max="16384" width="3.625" style="1"/>
  </cols>
  <sheetData>
    <row r="1" spans="2:15" ht="19.5" customHeight="1" x14ac:dyDescent="0.15">
      <c r="B1" s="204" t="s">
        <v>29</v>
      </c>
      <c r="C1" s="205"/>
      <c r="D1" s="204"/>
      <c r="E1" s="206"/>
      <c r="F1" s="206"/>
      <c r="G1" s="206"/>
      <c r="H1" s="205"/>
      <c r="I1" s="205"/>
      <c r="J1" s="205"/>
      <c r="K1" s="205"/>
      <c r="L1" s="205"/>
    </row>
    <row r="2" spans="2:15" ht="15" customHeight="1" x14ac:dyDescent="0.15">
      <c r="B2" s="160"/>
      <c r="C2" s="160"/>
      <c r="D2" s="160"/>
      <c r="E2" s="207"/>
      <c r="F2" s="207"/>
      <c r="G2" s="207"/>
      <c r="H2" s="207"/>
      <c r="I2" s="207"/>
      <c r="J2" s="733">
        <f ca="1">TODAY()</f>
        <v>45848</v>
      </c>
      <c r="K2" s="733"/>
      <c r="L2" s="207"/>
    </row>
    <row r="3" spans="2:15" ht="15" customHeight="1" x14ac:dyDescent="0.15">
      <c r="B3" s="160"/>
      <c r="C3" s="160"/>
      <c r="D3" s="160"/>
      <c r="E3" s="207"/>
      <c r="F3" s="207"/>
      <c r="G3" s="207"/>
      <c r="H3" s="207"/>
      <c r="I3" s="207"/>
      <c r="J3" s="378"/>
      <c r="K3" s="378"/>
      <c r="L3" s="207"/>
    </row>
    <row r="4" spans="2:15" ht="15" customHeight="1" x14ac:dyDescent="0.15">
      <c r="B4" s="160"/>
      <c r="C4" s="734" t="str">
        <f>+入力シート!E9&amp;"　　"&amp;入力シート!G9</f>
        <v>　　御中</v>
      </c>
      <c r="D4" s="735"/>
      <c r="E4" s="736"/>
      <c r="F4" s="736"/>
      <c r="G4" s="160"/>
      <c r="H4" s="160"/>
      <c r="I4" s="160"/>
      <c r="J4" s="160"/>
      <c r="K4" s="160"/>
      <c r="L4" s="160"/>
    </row>
    <row r="5" spans="2:15" ht="15" customHeight="1" x14ac:dyDescent="0.15">
      <c r="B5" s="160"/>
      <c r="C5" s="162"/>
      <c r="D5" s="160"/>
      <c r="E5" s="160"/>
      <c r="F5" s="160"/>
      <c r="G5" s="160"/>
      <c r="H5" s="160"/>
      <c r="I5" s="160"/>
      <c r="J5" s="160"/>
      <c r="K5" s="160"/>
      <c r="L5" s="160"/>
    </row>
    <row r="6" spans="2:15" ht="15" customHeight="1" x14ac:dyDescent="0.15">
      <c r="B6" s="160"/>
      <c r="C6" s="160"/>
      <c r="D6" s="160"/>
      <c r="E6" s="160"/>
      <c r="F6" s="160"/>
      <c r="G6" s="160"/>
      <c r="H6" s="158" t="str" cm="1">
        <f t="array" ref="H6">_xlfn.IFS(入力シート!$E$8=基本入力データシート!$D$3,基本入力データシート!$E$3,入力シート!$E$8=基本入力データシート!$D$7,基本入力データシート!$E$7,入力シート!$E$8=基本入力データシート!$D$8,基本入力データシート!$E$8,入力シート!$E$8=基本入力データシート!$D$4,基本入力データシート!$E$4,入力シート!$E$8=基本入力データシート!$D$5,基本入力データシート!$E$5,入力シート!$E$8=基本入力データシート!$D$6,基本入力データシート!$E$6)</f>
        <v>〒150-0002  東京都渋谷区渋谷1-13-9</v>
      </c>
      <c r="I6" s="159"/>
      <c r="J6" s="160"/>
      <c r="K6" s="160"/>
      <c r="L6" s="160"/>
    </row>
    <row r="7" spans="2:15" ht="15" customHeight="1" x14ac:dyDescent="0.15">
      <c r="B7" s="160"/>
      <c r="C7" s="160"/>
      <c r="D7" s="160"/>
      <c r="E7" s="160"/>
      <c r="F7" s="160"/>
      <c r="G7" s="160"/>
      <c r="H7" s="158" t="str" cm="1">
        <f t="array" ref="H7">_xlfn.IFS(入力シート!$E$8=基本入力データシート!$D$3,基本入力データシート!$F$3,入力シート!$E$8=基本入力データシート!$D$7,基本入力データシート!$F$7,入力シート!$E$8=基本入力データシート!$D$8,基本入力データシート!$F$8,入力シート!$E$8=基本入力データシート!$D$4,基本入力データシート!$F$4,入力シート!$E$8=基本入力データシート!$D$5,基本入力データシート!$F$5,入力シート!$E$8=基本入力データシート!$D$6,基本入力データシート!$F$6)</f>
        <v>株式会社 J 建築検査センター</v>
      </c>
      <c r="I7" s="161"/>
      <c r="J7" s="160"/>
      <c r="K7" s="160"/>
      <c r="L7" s="208"/>
      <c r="M7" s="5"/>
    </row>
    <row r="8" spans="2:15" ht="15" customHeight="1" x14ac:dyDescent="0.15">
      <c r="B8" s="160"/>
      <c r="C8" s="160"/>
      <c r="D8" s="160"/>
      <c r="E8" s="160"/>
      <c r="F8" s="160"/>
      <c r="G8" s="160"/>
      <c r="H8" s="158" t="str" cm="1">
        <f t="array" ref="H8">_xlfn.IFS(入力シート!$E$8=基本入力データシート!$D$3,基本入力データシート!$G$3,入力シート!$E$8=基本入力データシート!$D$7,基本入力データシート!$G$7,入力シート!$E$8=基本入力データシート!$D$8,基本入力データシート!$G$8,入力シート!$E$8=基本入力データシート!$D$4,基本入力データシート!$G$4,入力シート!$E$8=基本入力データシート!$D$5,基本入力データシート!$G$5,入力シート!$E$8=基本入力データシート!$D$6,基本入力データシート!$G$6)</f>
        <v>TEL:03-5464-7778　FAX:03-5464-7779</v>
      </c>
      <c r="I8" s="161"/>
      <c r="J8" s="160"/>
      <c r="K8" s="160"/>
      <c r="L8" s="160"/>
    </row>
    <row r="9" spans="2:15" ht="15" customHeight="1" x14ac:dyDescent="0.15">
      <c r="B9" s="160"/>
      <c r="C9" s="209" t="s">
        <v>3</v>
      </c>
      <c r="D9" s="160"/>
      <c r="E9" s="160"/>
      <c r="F9" s="160"/>
      <c r="G9" s="160"/>
      <c r="H9" s="160"/>
      <c r="I9" s="161"/>
      <c r="J9" s="160"/>
      <c r="K9" s="160"/>
      <c r="L9" s="160"/>
    </row>
    <row r="10" spans="2:15" ht="11.25" customHeight="1" x14ac:dyDescent="0.15">
      <c r="B10" s="160"/>
      <c r="C10" s="210"/>
      <c r="D10" s="210"/>
      <c r="E10" s="210"/>
      <c r="F10" s="210"/>
      <c r="G10" s="210"/>
      <c r="H10" s="210"/>
      <c r="I10" s="210"/>
      <c r="J10" s="210"/>
      <c r="K10" s="210"/>
      <c r="L10" s="160"/>
    </row>
    <row r="11" spans="2:15" s="10" customFormat="1" ht="24" customHeight="1" x14ac:dyDescent="0.15">
      <c r="B11" s="211"/>
      <c r="C11" s="212" t="s">
        <v>7</v>
      </c>
      <c r="D11" s="737">
        <f>+入力シート!E10</f>
        <v>0</v>
      </c>
      <c r="E11" s="738"/>
      <c r="F11" s="738"/>
      <c r="G11" s="738"/>
      <c r="H11" s="738"/>
      <c r="I11" s="738"/>
      <c r="J11" s="738"/>
      <c r="K11" s="738"/>
      <c r="L11" s="211"/>
    </row>
    <row r="12" spans="2:15" s="10" customFormat="1" ht="24" customHeight="1" x14ac:dyDescent="0.15">
      <c r="B12" s="211"/>
      <c r="C12" s="213" t="s">
        <v>6</v>
      </c>
      <c r="D12" s="163">
        <f>+K41</f>
        <v>0</v>
      </c>
      <c r="E12" s="214" t="s">
        <v>14</v>
      </c>
      <c r="F12" s="214"/>
      <c r="G12" s="214"/>
      <c r="H12" s="214"/>
      <c r="I12" s="215"/>
      <c r="J12" s="215"/>
      <c r="K12" s="215"/>
      <c r="L12" s="211"/>
    </row>
    <row r="13" spans="2:15" s="2" customFormat="1" ht="15" customHeight="1" x14ac:dyDescent="0.15">
      <c r="B13" s="219"/>
      <c r="C13" s="216" t="s">
        <v>4</v>
      </c>
      <c r="D13" s="217" t="s">
        <v>8</v>
      </c>
      <c r="E13" s="218" t="s">
        <v>5</v>
      </c>
      <c r="F13" s="216"/>
      <c r="G13" s="739"/>
      <c r="H13" s="740"/>
      <c r="I13" s="740"/>
      <c r="J13" s="740"/>
      <c r="K13" s="740"/>
      <c r="L13" s="158"/>
      <c r="O13" s="10"/>
    </row>
    <row r="14" spans="2:15" s="2" customFormat="1" ht="15" customHeight="1" x14ac:dyDescent="0.15">
      <c r="B14" s="741" t="s">
        <v>9</v>
      </c>
      <c r="C14" s="741"/>
      <c r="D14" s="741"/>
      <c r="E14" s="741"/>
      <c r="F14" s="741"/>
      <c r="G14" s="741"/>
      <c r="H14" s="222" t="s">
        <v>10</v>
      </c>
      <c r="I14" s="223" t="s">
        <v>0</v>
      </c>
      <c r="J14" s="224" t="s">
        <v>11</v>
      </c>
      <c r="K14" s="742" t="s">
        <v>12</v>
      </c>
      <c r="L14" s="741"/>
      <c r="O14" s="10"/>
    </row>
    <row r="15" spans="2:15" s="2" customFormat="1" ht="15" customHeight="1" x14ac:dyDescent="0.15">
      <c r="B15" s="220"/>
      <c r="C15" s="164" t="s">
        <v>28</v>
      </c>
      <c r="D15" s="746" t="str">
        <f>+入力シート!$E$12&amp;入力シート!$F$12&amp;入力シート!$G$12</f>
        <v>東京都</v>
      </c>
      <c r="E15" s="738"/>
      <c r="F15" s="738"/>
      <c r="G15" s="738"/>
      <c r="H15" s="747" t="str">
        <f>+入力シート!E16</f>
        <v>一戸建ての住宅</v>
      </c>
      <c r="I15" s="748"/>
      <c r="J15" s="748"/>
      <c r="K15" s="166" t="str">
        <f>IF(入力シート!F16="","",入力シート!F16)</f>
        <v/>
      </c>
      <c r="L15" s="187" t="str">
        <f>IF(K15="","","戸")</f>
        <v/>
      </c>
      <c r="O15" s="10"/>
    </row>
    <row r="16" spans="2:15" s="2" customFormat="1" ht="15" customHeight="1" x14ac:dyDescent="0.15">
      <c r="B16" s="221"/>
      <c r="C16" s="165" t="s">
        <v>27</v>
      </c>
      <c r="D16" s="167" t="str">
        <f>+入力シート!E14</f>
        <v>木造</v>
      </c>
      <c r="E16" s="189" t="s">
        <v>46</v>
      </c>
      <c r="F16" s="168">
        <f>+入力シート!G14</f>
        <v>2</v>
      </c>
      <c r="G16" s="190" t="s">
        <v>17</v>
      </c>
      <c r="H16" s="187" t="str">
        <f>IF(入力シート!H14="","-",入力シート!H14)</f>
        <v>-</v>
      </c>
      <c r="I16" s="191" t="s">
        <v>31</v>
      </c>
      <c r="J16" s="192" t="s">
        <v>30</v>
      </c>
      <c r="K16" s="749" t="str">
        <f>+入力シート!F14</f>
        <v>0-100㎡以内(3号)</v>
      </c>
      <c r="L16" s="750"/>
      <c r="O16" s="10"/>
    </row>
    <row r="17" spans="2:15" s="2" customFormat="1" ht="15" customHeight="1" x14ac:dyDescent="0.15">
      <c r="B17" s="332"/>
      <c r="C17" s="18"/>
      <c r="D17" s="17"/>
      <c r="E17" s="18"/>
      <c r="F17" s="181"/>
      <c r="G17" s="182"/>
      <c r="H17" s="32"/>
      <c r="I17" s="183"/>
      <c r="K17" s="184"/>
      <c r="L17" s="331"/>
      <c r="O17" s="10"/>
    </row>
    <row r="18" spans="2:15" s="2" customFormat="1" ht="15" customHeight="1" x14ac:dyDescent="0.15">
      <c r="B18" s="333" t="s">
        <v>39</v>
      </c>
      <c r="C18" s="375" t="s">
        <v>678</v>
      </c>
      <c r="D18" s="188"/>
      <c r="E18" s="226"/>
      <c r="F18" s="226"/>
      <c r="G18" s="226"/>
      <c r="H18" s="4"/>
      <c r="I18" s="4"/>
      <c r="J18" s="28"/>
      <c r="K18" s="24"/>
      <c r="L18" s="186"/>
    </row>
    <row r="19" spans="2:15" s="2" customFormat="1" ht="15" customHeight="1" x14ac:dyDescent="0.15">
      <c r="B19" s="352"/>
      <c r="C19" s="303"/>
      <c r="D19" s="303"/>
      <c r="E19" s="31"/>
      <c r="F19" s="31"/>
      <c r="G19" s="31"/>
      <c r="H19" s="4"/>
      <c r="I19" s="4"/>
      <c r="J19" s="28"/>
      <c r="K19" s="24"/>
      <c r="L19" s="186"/>
    </row>
    <row r="20" spans="2:15" s="2" customFormat="1" ht="15" customHeight="1" x14ac:dyDescent="0.15">
      <c r="B20" s="335" t="s">
        <v>13</v>
      </c>
      <c r="C20" s="225" t="s">
        <v>132</v>
      </c>
      <c r="D20" s="12"/>
      <c r="E20" s="31"/>
      <c r="F20" s="31"/>
      <c r="G20" s="31"/>
      <c r="H20" s="177"/>
      <c r="I20" s="177"/>
      <c r="J20" s="178"/>
      <c r="K20" s="179"/>
      <c r="L20" s="186"/>
    </row>
    <row r="21" spans="2:15" s="2" customFormat="1" ht="15" customHeight="1" x14ac:dyDescent="0.15">
      <c r="B21" s="185" t="str">
        <f t="shared" ref="B21:B23" si="0">IF($C21="","","・")</f>
        <v/>
      </c>
      <c r="C21" s="794"/>
      <c r="D21" s="795"/>
      <c r="E21" s="12"/>
      <c r="F21" s="31"/>
      <c r="G21" s="31"/>
      <c r="H21" s="177"/>
      <c r="I21" s="177"/>
      <c r="J21" s="178"/>
      <c r="K21" s="179"/>
      <c r="L21" s="186"/>
    </row>
    <row r="22" spans="2:15" s="2" customFormat="1" ht="15" customHeight="1" x14ac:dyDescent="0.15">
      <c r="B22" s="185" t="str">
        <f t="shared" si="0"/>
        <v/>
      </c>
      <c r="C22" s="794"/>
      <c r="D22" s="795"/>
      <c r="E22" s="799"/>
      <c r="F22" s="799"/>
      <c r="G22" s="800"/>
      <c r="H22" s="174" t="str">
        <f t="shared" ref="H22" si="1">IF($C22="","",1)</f>
        <v/>
      </c>
      <c r="I22" s="174" t="str">
        <f>IF($C22="","","式")</f>
        <v/>
      </c>
      <c r="J22" s="175" t="str">
        <f>IFERROR(INDEX(低炭素料金表データ!B5:C9,MATCH($C22,低炭素料金表データ!A5:A9,0),MATCH($C$21,低炭素料金表データ!B4:C4,0)),"")</f>
        <v/>
      </c>
      <c r="K22" s="176" t="str">
        <f>IFERROR(+J22*H22,"")</f>
        <v/>
      </c>
      <c r="L22" s="185" t="str">
        <f t="shared" ref="L22:L23" si="2">IF($C22="","","-")</f>
        <v/>
      </c>
    </row>
    <row r="23" spans="2:15" s="2" customFormat="1" ht="15" customHeight="1" x14ac:dyDescent="0.15">
      <c r="B23" s="185" t="str">
        <f t="shared" si="0"/>
        <v/>
      </c>
      <c r="C23" s="771" t="str" cm="1">
        <f t="array" ref="C23">+_xlfn.IFS(C22=低炭素料金表データ!A5,"",C22=低炭素料金表データ!A6,"",C22=低炭素料金表データ!A7,低炭素料金表データ!A11,C22=低炭素料金表データ!A8,低炭素料金表データ!A12,C22=低炭素料金表データ!A9,低炭素料金表データ!A13,C22="","")</f>
        <v/>
      </c>
      <c r="D23" s="772"/>
      <c r="E23" s="797"/>
      <c r="F23" s="797"/>
      <c r="G23" s="798"/>
      <c r="H23" s="260" t="str">
        <f>+IF(C23="","",$K$15)</f>
        <v/>
      </c>
      <c r="I23" s="174" t="str">
        <f>IF($C23="","","戸")</f>
        <v/>
      </c>
      <c r="J23" s="175" t="str">
        <f>IFERROR(INDEX(低炭素料金表データ!B11:C13,MATCH($C23,低炭素料金表データ!A11:A14,0),MATCH($C$21,低炭素料金表データ!B4:C4,0)),"")</f>
        <v/>
      </c>
      <c r="K23" s="176" t="str">
        <f>IFERROR(+J23*H23,"")</f>
        <v/>
      </c>
      <c r="L23" s="185" t="str">
        <f t="shared" si="2"/>
        <v/>
      </c>
    </row>
    <row r="24" spans="2:15" s="2" customFormat="1" ht="15" customHeight="1" x14ac:dyDescent="0.15">
      <c r="B24" s="186"/>
      <c r="C24" s="12"/>
      <c r="D24" s="12"/>
      <c r="E24" s="31"/>
      <c r="F24" s="31"/>
      <c r="G24" s="31"/>
      <c r="H24" s="4"/>
      <c r="I24" s="4"/>
      <c r="J24" s="156"/>
      <c r="K24" s="24"/>
      <c r="L24" s="186"/>
    </row>
    <row r="25" spans="2:15" s="2" customFormat="1" ht="15" customHeight="1" x14ac:dyDescent="0.15">
      <c r="B25" s="186"/>
      <c r="C25" s="12"/>
      <c r="D25" s="12"/>
      <c r="E25" s="31"/>
      <c r="F25" s="31"/>
      <c r="G25" s="31"/>
      <c r="H25" s="4"/>
      <c r="I25" s="4"/>
      <c r="J25" s="156"/>
      <c r="K25" s="24"/>
      <c r="L25" s="186"/>
      <c r="O25" s="270"/>
    </row>
    <row r="26" spans="2:15" s="2" customFormat="1" ht="15" customHeight="1" x14ac:dyDescent="0.15">
      <c r="B26" s="352"/>
      <c r="C26" s="303"/>
      <c r="D26" s="303"/>
      <c r="E26" s="31"/>
      <c r="F26" s="31"/>
      <c r="G26" s="31"/>
      <c r="H26" s="177"/>
      <c r="I26" s="177"/>
      <c r="J26" s="178"/>
      <c r="K26" s="179"/>
      <c r="L26" s="186"/>
      <c r="O26" s="270"/>
    </row>
    <row r="27" spans="2:15" s="2" customFormat="1" ht="15" customHeight="1" x14ac:dyDescent="0.15">
      <c r="B27" s="352"/>
      <c r="C27" s="303"/>
      <c r="D27" s="303"/>
      <c r="E27" s="31"/>
      <c r="F27" s="31"/>
      <c r="G27" s="31"/>
      <c r="H27" s="177"/>
      <c r="I27" s="177"/>
      <c r="J27" s="178"/>
      <c r="K27" s="179"/>
      <c r="L27" s="186"/>
      <c r="O27" s="270"/>
    </row>
    <row r="28" spans="2:15" s="2" customFormat="1" ht="15" customHeight="1" x14ac:dyDescent="0.15">
      <c r="B28" s="352"/>
      <c r="C28" s="303"/>
      <c r="D28" s="303"/>
      <c r="E28" s="31"/>
      <c r="F28" s="31"/>
      <c r="G28" s="31"/>
      <c r="H28" s="177"/>
      <c r="I28" s="177"/>
      <c r="J28" s="178"/>
      <c r="K28" s="179"/>
      <c r="L28" s="186"/>
      <c r="O28" s="270"/>
    </row>
    <row r="29" spans="2:15" s="2" customFormat="1" ht="15" customHeight="1" x14ac:dyDescent="0.15">
      <c r="B29" s="352"/>
      <c r="C29" s="303"/>
      <c r="D29" s="303"/>
      <c r="E29" s="31"/>
      <c r="F29" s="31"/>
      <c r="G29" s="31"/>
      <c r="H29" s="177"/>
      <c r="I29" s="177"/>
      <c r="J29" s="178"/>
      <c r="K29" s="179"/>
      <c r="L29" s="186"/>
      <c r="O29" s="270"/>
    </row>
    <row r="30" spans="2:15" s="2" customFormat="1" ht="15" customHeight="1" x14ac:dyDescent="0.15">
      <c r="B30" s="352"/>
      <c r="C30" s="303"/>
      <c r="D30" s="303"/>
      <c r="E30" s="31"/>
      <c r="F30" s="31"/>
      <c r="G30" s="31"/>
      <c r="H30" s="177"/>
      <c r="I30" s="177"/>
      <c r="J30" s="178"/>
      <c r="K30" s="179"/>
      <c r="L30" s="186"/>
      <c r="O30" s="270"/>
    </row>
    <row r="31" spans="2:15" s="2" customFormat="1" ht="15" customHeight="1" x14ac:dyDescent="0.15">
      <c r="B31" s="352"/>
      <c r="C31" s="303"/>
      <c r="D31" s="303"/>
      <c r="E31" s="31"/>
      <c r="F31" s="31"/>
      <c r="G31" s="31"/>
      <c r="H31" s="177"/>
      <c r="I31" s="177"/>
      <c r="J31" s="178"/>
      <c r="K31" s="179"/>
      <c r="L31" s="186"/>
      <c r="O31" s="270"/>
    </row>
    <row r="32" spans="2:15" s="2" customFormat="1" ht="15" customHeight="1" x14ac:dyDescent="0.15">
      <c r="B32" s="352"/>
      <c r="C32" s="303"/>
      <c r="D32" s="303"/>
      <c r="E32" s="31"/>
      <c r="F32" s="31"/>
      <c r="G32" s="31"/>
      <c r="H32" s="177"/>
      <c r="I32" s="177"/>
      <c r="J32" s="178"/>
      <c r="K32" s="179"/>
      <c r="L32" s="186"/>
    </row>
    <row r="33" spans="2:23" s="2" customFormat="1" ht="15" customHeight="1" x14ac:dyDescent="0.15">
      <c r="B33" s="352"/>
      <c r="C33" s="303"/>
      <c r="D33" s="303"/>
      <c r="E33" s="31"/>
      <c r="F33" s="31"/>
      <c r="G33" s="31"/>
      <c r="H33" s="177"/>
      <c r="I33" s="177"/>
      <c r="J33" s="178"/>
      <c r="K33" s="179"/>
      <c r="L33" s="186"/>
    </row>
    <row r="34" spans="2:23" s="2" customFormat="1" ht="15" customHeight="1" x14ac:dyDescent="0.15">
      <c r="B34" s="352"/>
      <c r="C34" s="303"/>
      <c r="D34" s="303"/>
      <c r="E34" s="31"/>
      <c r="F34" s="31"/>
      <c r="G34" s="31"/>
      <c r="H34" s="177"/>
      <c r="I34" s="177"/>
      <c r="J34" s="178"/>
      <c r="K34" s="179"/>
      <c r="L34" s="186"/>
    </row>
    <row r="35" spans="2:23" s="2" customFormat="1" ht="15" customHeight="1" x14ac:dyDescent="0.15">
      <c r="B35" s="352"/>
      <c r="C35" s="303"/>
      <c r="D35" s="303"/>
      <c r="E35" s="31"/>
      <c r="F35" s="31"/>
      <c r="G35" s="31"/>
      <c r="H35" s="177"/>
      <c r="I35" s="177"/>
      <c r="J35" s="178"/>
      <c r="K35" s="179"/>
      <c r="L35" s="186"/>
    </row>
    <row r="36" spans="2:23" s="2" customFormat="1" ht="15" customHeight="1" x14ac:dyDescent="0.15">
      <c r="B36" s="352"/>
      <c r="C36" s="303"/>
      <c r="D36" s="303"/>
      <c r="E36" s="31"/>
      <c r="F36" s="31"/>
      <c r="G36" s="31"/>
      <c r="H36" s="177"/>
      <c r="I36" s="177"/>
      <c r="J36" s="178"/>
      <c r="K36" s="179"/>
      <c r="L36" s="186"/>
    </row>
    <row r="37" spans="2:23" s="2" customFormat="1" ht="15" customHeight="1" x14ac:dyDescent="0.15">
      <c r="B37" s="336"/>
      <c r="C37" s="354"/>
      <c r="D37" s="354"/>
      <c r="E37" s="249"/>
      <c r="F37" s="249"/>
      <c r="G37" s="285"/>
      <c r="H37" s="766" t="s">
        <v>21</v>
      </c>
      <c r="I37" s="767"/>
      <c r="J37" s="768"/>
      <c r="K37" s="171">
        <f>SUM(K18:K36)</f>
        <v>0</v>
      </c>
      <c r="L37" s="305" t="s">
        <v>1</v>
      </c>
    </row>
    <row r="38" spans="2:23" s="2" customFormat="1" ht="15" customHeight="1" x14ac:dyDescent="0.15">
      <c r="B38" s="334"/>
      <c r="C38" s="6"/>
      <c r="D38" s="19"/>
      <c r="E38" s="284"/>
      <c r="F38" s="284"/>
      <c r="G38" s="284"/>
      <c r="H38" s="177"/>
      <c r="I38" s="177"/>
      <c r="J38" s="178"/>
      <c r="K38" s="179"/>
      <c r="L38" s="186"/>
    </row>
    <row r="39" spans="2:23" s="2" customFormat="1" ht="15" customHeight="1" x14ac:dyDescent="0.15">
      <c r="B39" s="337"/>
      <c r="C39" s="259" t="s">
        <v>37</v>
      </c>
      <c r="D39" s="20"/>
      <c r="E39" s="21"/>
      <c r="F39" s="21"/>
      <c r="G39" s="21"/>
      <c r="H39" s="25"/>
      <c r="I39" s="4"/>
      <c r="J39" s="29"/>
      <c r="K39" s="170">
        <f>K37*0.1</f>
        <v>0</v>
      </c>
      <c r="L39" s="185" t="s">
        <v>14</v>
      </c>
    </row>
    <row r="40" spans="2:23" s="2" customFormat="1" ht="15" customHeight="1" x14ac:dyDescent="0.15">
      <c r="B40" s="338"/>
      <c r="C40" s="248"/>
      <c r="D40" s="15"/>
      <c r="E40" s="249"/>
      <c r="F40" s="249"/>
      <c r="G40" s="249"/>
      <c r="H40" s="250"/>
      <c r="I40" s="250"/>
      <c r="J40" s="251"/>
      <c r="K40" s="252"/>
      <c r="L40" s="304"/>
      <c r="W40" s="10"/>
    </row>
    <row r="41" spans="2:23" s="2" customFormat="1" ht="15" customHeight="1" thickBot="1" x14ac:dyDescent="0.2">
      <c r="C41" s="2" t="s">
        <v>91</v>
      </c>
      <c r="H41" s="758" t="s">
        <v>2</v>
      </c>
      <c r="I41" s="758"/>
      <c r="J41" s="758"/>
      <c r="K41" s="195">
        <f>SUM(K37:K40)</f>
        <v>0</v>
      </c>
      <c r="L41" s="306" t="s">
        <v>1</v>
      </c>
      <c r="W41" s="10"/>
    </row>
    <row r="42" spans="2:23" s="2" customFormat="1" ht="15" customHeight="1" thickTop="1" x14ac:dyDescent="0.15">
      <c r="B42" s="11"/>
      <c r="C42" s="16"/>
      <c r="I42" s="8"/>
      <c r="J42" s="8"/>
      <c r="K42" s="27"/>
      <c r="L42" s="16"/>
      <c r="W42" s="10"/>
    </row>
    <row r="43" spans="2:23" s="2" customFormat="1" ht="15" customHeight="1" x14ac:dyDescent="0.15">
      <c r="C43" s="16" t="s">
        <v>780</v>
      </c>
      <c r="W43" s="10"/>
    </row>
    <row r="44" spans="2:23" s="2" customFormat="1" ht="15" customHeight="1" x14ac:dyDescent="0.15">
      <c r="C44" s="16" t="s">
        <v>781</v>
      </c>
      <c r="W44" s="10"/>
    </row>
    <row r="45" spans="2:23" s="2" customFormat="1" ht="15" customHeight="1" x14ac:dyDescent="0.15">
      <c r="C45" s="16" t="s">
        <v>782</v>
      </c>
      <c r="W45" s="10"/>
    </row>
    <row r="46" spans="2:23" s="2" customFormat="1" ht="15" customHeight="1" x14ac:dyDescent="0.15">
      <c r="C46" s="16"/>
      <c r="W46" s="10"/>
    </row>
    <row r="47" spans="2:23" s="2" customFormat="1" ht="15" customHeight="1" x14ac:dyDescent="0.15">
      <c r="D47" s="1"/>
      <c r="O47" s="16"/>
    </row>
    <row r="48" spans="2:23" ht="15" customHeight="1" x14ac:dyDescent="0.15">
      <c r="K48" s="30"/>
      <c r="O48" s="2"/>
    </row>
    <row r="49" spans="2:32" ht="16.5" customHeight="1" x14ac:dyDescent="0.15">
      <c r="L49" s="30"/>
      <c r="W49" s="10"/>
    </row>
    <row r="50" spans="2:32" ht="16.5" customHeight="1" x14ac:dyDescent="0.15">
      <c r="L50" s="30" t="s">
        <v>32</v>
      </c>
      <c r="W50" s="10"/>
    </row>
    <row r="51" spans="2:32" ht="16.5" customHeight="1" x14ac:dyDescent="0.15">
      <c r="W51" s="10"/>
    </row>
    <row r="52" spans="2:32" ht="16.5" customHeight="1" x14ac:dyDescent="0.15">
      <c r="W52" s="10"/>
    </row>
    <row r="53" spans="2:32" ht="16.5" customHeight="1" x14ac:dyDescent="0.15">
      <c r="W53" s="10"/>
    </row>
    <row r="54" spans="2:32" ht="16.5" customHeight="1" x14ac:dyDescent="0.15">
      <c r="W54" s="10"/>
    </row>
    <row r="55" spans="2:32" ht="16.5" customHeight="1" x14ac:dyDescent="0.15">
      <c r="W55" s="355"/>
    </row>
    <row r="56" spans="2:32" ht="16.5" customHeight="1" x14ac:dyDescent="0.15">
      <c r="W56" s="10"/>
    </row>
    <row r="57" spans="2:32" s="9" customFormat="1" ht="16.5" customHeight="1" x14ac:dyDescent="0.15">
      <c r="B57" s="1"/>
      <c r="C57" s="1"/>
      <c r="D57" s="1"/>
      <c r="E57" s="1"/>
      <c r="F57" s="1"/>
      <c r="G57" s="1"/>
      <c r="H57" s="1"/>
      <c r="I57" s="1"/>
      <c r="J57" s="1"/>
      <c r="K57" s="1"/>
      <c r="L57" s="1"/>
      <c r="W57" s="10"/>
    </row>
    <row r="58" spans="2:32" s="9" customFormat="1" ht="16.5" customHeight="1" x14ac:dyDescent="0.15">
      <c r="B58" s="1"/>
      <c r="C58" s="1"/>
      <c r="D58" s="1"/>
      <c r="E58" s="1"/>
      <c r="F58" s="1"/>
      <c r="G58" s="1"/>
      <c r="H58" s="1"/>
      <c r="I58" s="1"/>
      <c r="J58" s="1"/>
      <c r="K58" s="1"/>
      <c r="L58" s="1"/>
      <c r="W58" s="10"/>
    </row>
    <row r="59" spans="2:32" ht="16.5" customHeight="1" x14ac:dyDescent="0.15">
      <c r="V59" s="9"/>
      <c r="W59" s="10"/>
      <c r="X59" s="9"/>
      <c r="Y59" s="9"/>
      <c r="Z59" s="9"/>
      <c r="AA59" s="9"/>
      <c r="AB59" s="9"/>
      <c r="AC59" s="9"/>
      <c r="AD59" s="9"/>
      <c r="AE59" s="9"/>
      <c r="AF59" s="9"/>
    </row>
    <row r="60" spans="2:32" ht="16.5" customHeight="1" x14ac:dyDescent="0.15">
      <c r="V60" s="9"/>
      <c r="W60" s="10"/>
      <c r="X60" s="9"/>
      <c r="Y60" s="9"/>
      <c r="Z60" s="9"/>
      <c r="AA60" s="9"/>
      <c r="AB60" s="9"/>
      <c r="AC60" s="9"/>
      <c r="AD60" s="9"/>
      <c r="AE60" s="9"/>
      <c r="AF60" s="9"/>
    </row>
    <row r="61" spans="2:32" ht="16.5" customHeight="1" x14ac:dyDescent="0.15">
      <c r="V61" s="9"/>
      <c r="W61" s="10"/>
      <c r="X61" s="9"/>
      <c r="Y61" s="9"/>
      <c r="Z61" s="9"/>
      <c r="AA61" s="9"/>
      <c r="AB61" s="9"/>
      <c r="AC61" s="9"/>
      <c r="AD61" s="9"/>
      <c r="AE61" s="9"/>
      <c r="AF61" s="9"/>
    </row>
    <row r="62" spans="2:32" ht="16.5" customHeight="1" x14ac:dyDescent="0.15">
      <c r="V62" s="9"/>
      <c r="W62" s="10"/>
      <c r="X62" s="9"/>
      <c r="Y62" s="9"/>
      <c r="Z62" s="9"/>
      <c r="AA62" s="9"/>
      <c r="AB62" s="9"/>
      <c r="AC62" s="9"/>
      <c r="AD62" s="9"/>
      <c r="AE62" s="9"/>
      <c r="AF62" s="9"/>
    </row>
    <row r="63" spans="2:32" ht="16.5" customHeight="1" x14ac:dyDescent="0.15">
      <c r="V63" s="9"/>
      <c r="W63" s="10"/>
      <c r="X63" s="9"/>
      <c r="Y63" s="9"/>
      <c r="Z63" s="9"/>
      <c r="AA63" s="9"/>
      <c r="AB63" s="9"/>
      <c r="AC63" s="9"/>
      <c r="AD63" s="9"/>
      <c r="AE63" s="9"/>
      <c r="AF63" s="9"/>
    </row>
  </sheetData>
  <mergeCells count="14">
    <mergeCell ref="J2:K2"/>
    <mergeCell ref="D11:K11"/>
    <mergeCell ref="G13:K13"/>
    <mergeCell ref="B14:G14"/>
    <mergeCell ref="K14:L14"/>
    <mergeCell ref="C4:F4"/>
    <mergeCell ref="C23:G23"/>
    <mergeCell ref="H37:J37"/>
    <mergeCell ref="H41:J41"/>
    <mergeCell ref="D15:G15"/>
    <mergeCell ref="K16:L16"/>
    <mergeCell ref="C21:D21"/>
    <mergeCell ref="C22:G22"/>
    <mergeCell ref="H15:J15"/>
  </mergeCells>
  <phoneticPr fontId="4"/>
  <printOptions horizontalCentered="1" verticalCentered="1"/>
  <pageMargins left="0.39370078740157483" right="0.39370078740157483" top="0.39370078740157483" bottom="0" header="0" footer="0"/>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showInputMessage="1" showErrorMessage="1" xr:uid="{62126A4F-C22D-48DD-919C-8DC6FE3E85B0}">
          <x14:formula1>
            <xm:f>低炭素料金表データ!$A$4:$C$4</xm:f>
          </x14:formula1>
          <xm:sqref>C21:D21</xm:sqref>
        </x14:dataValidation>
        <x14:dataValidation type="list" showInputMessage="1" showErrorMessage="1" xr:uid="{B8C1EBFA-BB17-4C07-BF09-D071CA25D1AC}">
          <x14:formula1>
            <xm:f>低炭素料金表データ!$A$4:$A$9</xm:f>
          </x14:formula1>
          <xm:sqref>C22:G22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7CB02-4898-4885-93AE-A018D0D83949}">
  <sheetPr>
    <tabColor theme="0" tint="-0.499984740745262"/>
  </sheetPr>
  <dimension ref="A1:AI227"/>
  <sheetViews>
    <sheetView topLeftCell="S1" workbookViewId="0">
      <selection activeCell="C18" sqref="C18:D18"/>
    </sheetView>
  </sheetViews>
  <sheetFormatPr defaultColWidth="9.125" defaultRowHeight="22.5" customHeight="1" x14ac:dyDescent="0.15"/>
  <cols>
    <col min="1" max="3" width="9.125" style="137"/>
    <col min="4" max="4" width="10.75" style="137" customWidth="1"/>
    <col min="5" max="5" width="38.25" style="137" customWidth="1"/>
    <col min="6" max="6" width="29.5" style="137" customWidth="1"/>
    <col min="7" max="7" width="29.75" style="137" customWidth="1"/>
    <col min="8" max="8" width="19.625" style="137" customWidth="1"/>
    <col min="9" max="9" width="38.375" style="137" customWidth="1"/>
    <col min="10" max="10" width="22.25" style="137" customWidth="1"/>
    <col min="11" max="11" width="9.125" style="266"/>
    <col min="12" max="12" width="9.125" style="568"/>
    <col min="13" max="13" width="9.125" style="266"/>
    <col min="14" max="14" width="14.625" style="137" customWidth="1"/>
    <col min="15" max="15" width="32.5" style="137" customWidth="1"/>
    <col min="16" max="16" width="10.625" style="137" customWidth="1"/>
    <col min="17" max="17" width="26.125" style="137" customWidth="1"/>
    <col min="18" max="18" width="16.25" style="137" customWidth="1"/>
    <col min="19" max="19" width="26.125" style="137" customWidth="1"/>
    <col min="20" max="20" width="9.125" style="137"/>
    <col min="21" max="21" width="9.625" style="137" customWidth="1"/>
    <col min="22" max="22" width="10.5" style="137" customWidth="1"/>
    <col min="23" max="24" width="26.125" style="137" customWidth="1"/>
    <col min="25" max="28" width="12.625" style="137" customWidth="1"/>
    <col min="29" max="30" width="16.375" style="137" customWidth="1"/>
    <col min="31" max="31" width="42.75" style="137" customWidth="1"/>
    <col min="32" max="32" width="4.75" style="137" customWidth="1"/>
    <col min="33" max="33" width="16.125" style="137" customWidth="1"/>
    <col min="34" max="34" width="15.125" style="137" customWidth="1"/>
    <col min="35" max="16384" width="9.125" style="137"/>
  </cols>
  <sheetData>
    <row r="1" spans="1:34" s="132" customFormat="1" ht="22.5" customHeight="1" x14ac:dyDescent="0.15">
      <c r="A1" s="132" t="s">
        <v>102</v>
      </c>
      <c r="K1" s="265"/>
      <c r="L1" s="566"/>
      <c r="M1" s="265"/>
      <c r="AF1" s="132" t="s">
        <v>804</v>
      </c>
      <c r="AG1" s="132" t="s">
        <v>929</v>
      </c>
    </row>
    <row r="2" spans="1:34" s="133" customFormat="1" ht="22.5" customHeight="1" x14ac:dyDescent="0.15">
      <c r="A2" s="374" t="s">
        <v>43</v>
      </c>
      <c r="B2" s="374" t="s">
        <v>769</v>
      </c>
      <c r="C2" s="374" t="s">
        <v>897</v>
      </c>
      <c r="D2" s="374" t="s">
        <v>50</v>
      </c>
      <c r="E2" s="374" t="s">
        <v>103</v>
      </c>
      <c r="F2" s="374" t="s">
        <v>765</v>
      </c>
      <c r="G2" s="374" t="s">
        <v>766</v>
      </c>
      <c r="H2" s="374" t="s">
        <v>40</v>
      </c>
      <c r="I2" s="374" t="s">
        <v>41</v>
      </c>
      <c r="J2" s="374" t="s">
        <v>763</v>
      </c>
      <c r="K2" s="374" t="s">
        <v>764</v>
      </c>
      <c r="L2" s="567" t="s">
        <v>1008</v>
      </c>
      <c r="M2" s="374"/>
      <c r="N2" s="374" t="s">
        <v>612</v>
      </c>
      <c r="O2" s="374" t="s">
        <v>806</v>
      </c>
      <c r="P2" s="374" t="s">
        <v>992</v>
      </c>
      <c r="Q2" s="374" t="s">
        <v>993</v>
      </c>
      <c r="R2" s="374" t="s">
        <v>994</v>
      </c>
      <c r="S2" s="374" t="s">
        <v>995</v>
      </c>
      <c r="T2" s="374" t="s">
        <v>181</v>
      </c>
      <c r="U2" s="374" t="s">
        <v>890</v>
      </c>
      <c r="V2" s="374"/>
      <c r="W2" s="374"/>
      <c r="X2" s="374"/>
      <c r="Y2" s="374" t="s">
        <v>651</v>
      </c>
      <c r="Z2" s="374"/>
      <c r="AA2" s="374" t="s">
        <v>1099</v>
      </c>
      <c r="AB2" s="374"/>
      <c r="AC2" s="374" t="s">
        <v>999</v>
      </c>
      <c r="AD2" s="374" t="s">
        <v>803</v>
      </c>
      <c r="AE2" s="374" t="s">
        <v>991</v>
      </c>
      <c r="AF2" s="374"/>
      <c r="AG2" s="374" t="s">
        <v>927</v>
      </c>
      <c r="AH2" s="374" t="s">
        <v>928</v>
      </c>
    </row>
    <row r="3" spans="1:34" s="133" customFormat="1" ht="22.5" customHeight="1" x14ac:dyDescent="0.15">
      <c r="B3" s="133" t="str">
        <f>+確認申請料金表データ!A1</f>
        <v>1.確認検査基本手数料(通常料金)</v>
      </c>
      <c r="C3" s="133" t="s">
        <v>899</v>
      </c>
      <c r="D3" s="133" t="s">
        <v>47</v>
      </c>
      <c r="E3" s="135" t="s">
        <v>124</v>
      </c>
      <c r="F3" s="136" t="s">
        <v>23</v>
      </c>
      <c r="G3" s="134" t="str">
        <f>IF(MID(E3,2,3)="150","TEL:03-5464-7778　FAX:03-5464-7779",IF(MID(E3,2,3)="104","",IF(MID(E3,2,3)="541","TEL:06-6204-3210　FAX:06-6204-3211","")))</f>
        <v>TEL:03-5464-7778　FAX:03-5464-7779</v>
      </c>
      <c r="I3" s="133" t="s">
        <v>87</v>
      </c>
      <c r="J3" s="133" t="s">
        <v>262</v>
      </c>
      <c r="K3" s="265" t="s">
        <v>415</v>
      </c>
      <c r="L3" s="566" t="s">
        <v>1052</v>
      </c>
      <c r="M3" s="265" t="b">
        <v>0</v>
      </c>
      <c r="N3" s="496" t="str">
        <f>IF(入力シート!F12="",入力シート!E12,入力シート!E12&amp;入力シート!F12)</f>
        <v>東京都</v>
      </c>
      <c r="Y3" s="679"/>
      <c r="Z3" s="679"/>
      <c r="AG3" s="133" t="s">
        <v>115</v>
      </c>
      <c r="AH3" s="133" t="s">
        <v>134</v>
      </c>
    </row>
    <row r="4" spans="1:34" s="133" customFormat="1" ht="22.5" customHeight="1" x14ac:dyDescent="0.15">
      <c r="B4" s="133" t="str">
        <f>+確認申請料金表データ!A107</f>
        <v>2.特約　確認および検査手数料10％off（加算手数料は通常通り）</v>
      </c>
      <c r="C4" s="133" t="s">
        <v>898</v>
      </c>
      <c r="D4" s="494" t="s">
        <v>913</v>
      </c>
      <c r="E4" s="494" t="s">
        <v>922</v>
      </c>
      <c r="F4" s="136" t="s">
        <v>914</v>
      </c>
      <c r="G4" s="134" t="s">
        <v>915</v>
      </c>
      <c r="H4" s="133" t="s">
        <v>912</v>
      </c>
      <c r="I4" s="133" t="s">
        <v>88</v>
      </c>
      <c r="J4" s="133" t="s">
        <v>185</v>
      </c>
      <c r="K4" s="265">
        <v>66000</v>
      </c>
      <c r="L4" s="571" t="s">
        <v>1009</v>
      </c>
      <c r="M4" s="569" t="b">
        <v>1</v>
      </c>
      <c r="O4" s="133" t="s">
        <v>807</v>
      </c>
      <c r="P4" s="133" t="s">
        <v>963</v>
      </c>
      <c r="Q4" s="133" t="s">
        <v>965</v>
      </c>
      <c r="S4" s="496" t="str">
        <f>+LEFT(入力シート!F34,3)</f>
        <v>住宅系</v>
      </c>
      <c r="T4" s="137" t="s">
        <v>801</v>
      </c>
      <c r="U4" s="133" t="s">
        <v>996</v>
      </c>
      <c r="V4" s="133" t="s">
        <v>987</v>
      </c>
      <c r="W4" s="504" t="s">
        <v>155</v>
      </c>
      <c r="X4" s="504" t="s">
        <v>154</v>
      </c>
      <c r="Y4" s="679" t="s">
        <v>1060</v>
      </c>
      <c r="Z4" s="679"/>
      <c r="AA4" s="133" t="s">
        <v>115</v>
      </c>
      <c r="AB4" s="680" t="s">
        <v>1142</v>
      </c>
      <c r="AC4" s="680" t="str">
        <f>IF(COUNTIF(Y7:Y8,入力シート!G34),"〇","×")</f>
        <v>×</v>
      </c>
      <c r="AD4" s="477" t="s">
        <v>174</v>
      </c>
      <c r="AE4" s="133" t="s">
        <v>888</v>
      </c>
      <c r="AG4" s="133" t="s">
        <v>116</v>
      </c>
      <c r="AH4" s="133" t="s">
        <v>926</v>
      </c>
    </row>
    <row r="5" spans="1:34" s="133" customFormat="1" ht="22.5" customHeight="1" x14ac:dyDescent="0.15">
      <c r="B5" s="133" t="str">
        <f>+確認申請料金表データ!A211</f>
        <v>3.特約　確認および検査手数料20％off（加算手数料は通常通り）</v>
      </c>
      <c r="C5" s="133" t="s">
        <v>900</v>
      </c>
      <c r="D5" s="494" t="s">
        <v>48</v>
      </c>
      <c r="E5" s="135" t="s">
        <v>24</v>
      </c>
      <c r="F5" s="136" t="s">
        <v>35</v>
      </c>
      <c r="G5" s="134" t="str">
        <f>IF(MID(E5,2,3)="150","TEL:03-5464-7778　FAX:03-5464-7779",IF(MID(E5,2,3)="104","TEL:03-5202-7577　FAX:03-5202-2277",IF(MID(E5,2,3)="541","TEL:06-6204-3210　FAX:06-6204-3211","")))</f>
        <v>TEL:06-6204-3210　FAX:06-6204-3211</v>
      </c>
      <c r="H5" s="133" t="s">
        <v>26</v>
      </c>
      <c r="I5" s="133" t="s">
        <v>89</v>
      </c>
      <c r="J5" s="133" t="s">
        <v>186</v>
      </c>
      <c r="K5" s="265">
        <v>66000</v>
      </c>
      <c r="L5" s="571" t="s">
        <v>1011</v>
      </c>
      <c r="M5" s="569" t="b">
        <v>1</v>
      </c>
      <c r="O5" s="133" t="s">
        <v>808</v>
      </c>
      <c r="P5" s="133" t="s">
        <v>963</v>
      </c>
      <c r="Q5" s="133" t="s">
        <v>965</v>
      </c>
      <c r="S5" s="496" t="str">
        <f>RIGHT(入力シート!F34,4)</f>
        <v>準による</v>
      </c>
      <c r="T5" s="137" t="s">
        <v>802</v>
      </c>
      <c r="U5" s="133" t="s">
        <v>891</v>
      </c>
      <c r="V5" s="133" t="s">
        <v>988</v>
      </c>
      <c r="W5" s="504" t="s">
        <v>158</v>
      </c>
      <c r="X5" s="504" t="s">
        <v>166</v>
      </c>
      <c r="Y5" s="679" t="s">
        <v>803</v>
      </c>
      <c r="Z5" s="679" t="s">
        <v>803</v>
      </c>
      <c r="AA5" s="133" t="s">
        <v>116</v>
      </c>
      <c r="AB5" s="680" t="s">
        <v>1141</v>
      </c>
      <c r="AC5" s="680" t="str">
        <f>IF(COUNTIF(Y5:Y10,入力シート!G34),"〇","×")</f>
        <v>×</v>
      </c>
      <c r="AD5" s="477" t="s">
        <v>175</v>
      </c>
      <c r="AE5" s="133" t="s">
        <v>958</v>
      </c>
      <c r="AG5" s="133" t="s">
        <v>920</v>
      </c>
      <c r="AH5" s="133" t="s">
        <v>134</v>
      </c>
    </row>
    <row r="6" spans="1:34" s="133" customFormat="1" ht="22.5" customHeight="1" x14ac:dyDescent="0.15">
      <c r="B6" s="133" t="str">
        <f>+確認申請料金表データ!A315</f>
        <v>4.特約　確認および検査手数料30％off（加算手数料は通常通り）</v>
      </c>
      <c r="D6" s="494" t="s">
        <v>49</v>
      </c>
      <c r="E6" s="135" t="s">
        <v>33</v>
      </c>
      <c r="F6" s="136" t="s">
        <v>34</v>
      </c>
      <c r="G6" s="134" t="s">
        <v>36</v>
      </c>
      <c r="H6" s="133" t="s">
        <v>25</v>
      </c>
      <c r="J6" s="133" t="s">
        <v>187</v>
      </c>
      <c r="K6" s="265">
        <v>55000</v>
      </c>
      <c r="L6" s="571" t="s">
        <v>1014</v>
      </c>
      <c r="M6" s="569" t="b">
        <v>1</v>
      </c>
      <c r="O6" s="133" t="s">
        <v>809</v>
      </c>
      <c r="P6" s="133" t="s">
        <v>963</v>
      </c>
      <c r="Q6" s="133" t="s">
        <v>965</v>
      </c>
      <c r="S6" s="496" t="str">
        <f>LEFT(入力シート!G34,4)</f>
        <v/>
      </c>
      <c r="T6" s="133" t="s">
        <v>990</v>
      </c>
      <c r="V6" s="133" t="s">
        <v>989</v>
      </c>
      <c r="W6" s="504" t="s">
        <v>161</v>
      </c>
      <c r="X6" s="504" t="s">
        <v>167</v>
      </c>
      <c r="Y6" s="679" t="s">
        <v>893</v>
      </c>
      <c r="Z6" s="679" t="s">
        <v>893</v>
      </c>
      <c r="AA6" s="133" t="s">
        <v>920</v>
      </c>
      <c r="AB6" s="680" t="s">
        <v>1139</v>
      </c>
      <c r="AC6" s="680" t="str">
        <f>IF(COUNTIF(O5:O9,入力シート!E16),"〇","×")</f>
        <v>×</v>
      </c>
      <c r="AD6" s="478" t="s">
        <v>876</v>
      </c>
      <c r="AE6" s="133" t="s">
        <v>959</v>
      </c>
      <c r="AG6" s="133" t="s">
        <v>930</v>
      </c>
      <c r="AH6" s="133" t="s">
        <v>926</v>
      </c>
    </row>
    <row r="7" spans="1:34" s="133" customFormat="1" ht="22.5" customHeight="1" x14ac:dyDescent="0.15">
      <c r="B7" s="133" t="str">
        <f>+確認申請料金表データ!A419</f>
        <v>5.大和リース　特約　確認、検査、加算手数料30％off</v>
      </c>
      <c r="D7" s="494" t="s">
        <v>924</v>
      </c>
      <c r="E7" s="135" t="s">
        <v>124</v>
      </c>
      <c r="F7" s="136" t="s">
        <v>923</v>
      </c>
      <c r="G7" s="493" t="s">
        <v>918</v>
      </c>
      <c r="H7" s="133" t="s">
        <v>44</v>
      </c>
      <c r="J7" s="133" t="s">
        <v>188</v>
      </c>
      <c r="K7" s="265">
        <v>66000</v>
      </c>
      <c r="L7" s="571" t="s">
        <v>1015</v>
      </c>
      <c r="M7" s="569" t="b">
        <v>1</v>
      </c>
      <c r="O7" s="133" t="s">
        <v>810</v>
      </c>
      <c r="P7" s="133" t="s">
        <v>963</v>
      </c>
      <c r="Q7" s="133" t="s">
        <v>965</v>
      </c>
      <c r="S7" s="496" t="str">
        <f>+LEFT(入力シート!F35,3)</f>
        <v/>
      </c>
      <c r="Y7" s="679" t="s">
        <v>896</v>
      </c>
      <c r="Z7" s="679" t="s">
        <v>803</v>
      </c>
      <c r="AA7" s="133" t="s">
        <v>930</v>
      </c>
      <c r="AB7" s="680" t="s">
        <v>1140</v>
      </c>
      <c r="AC7" s="680" t="str">
        <f>IF(COUNTIF(AA4:AA10,入力シート!F14),"〇","×")</f>
        <v>〇</v>
      </c>
      <c r="AD7" s="478" t="s">
        <v>877</v>
      </c>
      <c r="AG7" s="496" t="s">
        <v>941</v>
      </c>
      <c r="AH7" s="133" t="s">
        <v>926</v>
      </c>
    </row>
    <row r="8" spans="1:34" s="133" customFormat="1" ht="22.5" customHeight="1" x14ac:dyDescent="0.15">
      <c r="D8" s="494" t="s">
        <v>916</v>
      </c>
      <c r="E8" s="135" t="s">
        <v>124</v>
      </c>
      <c r="F8" s="136" t="s">
        <v>917</v>
      </c>
      <c r="G8" s="493" t="s">
        <v>919</v>
      </c>
      <c r="H8" s="133" t="s">
        <v>45</v>
      </c>
      <c r="J8" s="133" t="s">
        <v>189</v>
      </c>
      <c r="K8" s="265">
        <v>55000</v>
      </c>
      <c r="L8" s="571" t="s">
        <v>1022</v>
      </c>
      <c r="M8" s="571" t="b">
        <v>1</v>
      </c>
      <c r="O8" s="133" t="s">
        <v>811</v>
      </c>
      <c r="P8" s="133" t="s">
        <v>963</v>
      </c>
      <c r="Q8" s="133" t="s">
        <v>965</v>
      </c>
      <c r="S8" s="496" t="str">
        <f>+LEFT(入力シート!F36,3)</f>
        <v/>
      </c>
      <c r="Y8" s="679" t="s">
        <v>895</v>
      </c>
      <c r="Z8" s="679" t="s">
        <v>893</v>
      </c>
      <c r="AA8" s="133" t="s">
        <v>66</v>
      </c>
      <c r="AG8" s="496" t="s">
        <v>942</v>
      </c>
      <c r="AH8" s="133" t="s">
        <v>135</v>
      </c>
    </row>
    <row r="9" spans="1:34" s="133" customFormat="1" ht="22.5" customHeight="1" x14ac:dyDescent="0.15">
      <c r="J9" s="133" t="s">
        <v>190</v>
      </c>
      <c r="K9" s="265">
        <v>44000</v>
      </c>
      <c r="L9" s="571" t="s">
        <v>1023</v>
      </c>
      <c r="M9" s="571" t="b">
        <v>1</v>
      </c>
      <c r="O9" s="133" t="s">
        <v>812</v>
      </c>
      <c r="P9" s="133" t="s">
        <v>963</v>
      </c>
      <c r="Q9" s="133" t="s">
        <v>965</v>
      </c>
      <c r="S9" s="496" t="str">
        <f>+LEFT(入力シート!F37,3)</f>
        <v/>
      </c>
      <c r="Y9" s="679" t="s">
        <v>1169</v>
      </c>
      <c r="Z9" s="679"/>
      <c r="AA9" s="133" t="s">
        <v>67</v>
      </c>
      <c r="AG9" s="133" t="s">
        <v>66</v>
      </c>
      <c r="AH9" s="133" t="s">
        <v>134</v>
      </c>
    </row>
    <row r="10" spans="1:34" s="133" customFormat="1" ht="22.5" customHeight="1" x14ac:dyDescent="0.15">
      <c r="J10" s="133" t="s">
        <v>191</v>
      </c>
      <c r="K10" s="265">
        <v>16500</v>
      </c>
      <c r="L10" s="571" t="s">
        <v>1034</v>
      </c>
      <c r="M10" s="571" t="b">
        <v>1</v>
      </c>
      <c r="O10" s="137" t="s">
        <v>845</v>
      </c>
      <c r="P10" s="137" t="s">
        <v>983</v>
      </c>
      <c r="Q10" s="137" t="s">
        <v>966</v>
      </c>
      <c r="R10" s="137" t="s">
        <v>985</v>
      </c>
      <c r="S10" s="496" t="str">
        <f>+LEFT(入力シート!F39,3)</f>
        <v/>
      </c>
      <c r="AA10" s="133" t="s">
        <v>997</v>
      </c>
      <c r="AE10" s="137"/>
      <c r="AG10" s="133" t="s">
        <v>67</v>
      </c>
      <c r="AH10" s="133" t="s">
        <v>926</v>
      </c>
    </row>
    <row r="11" spans="1:34" s="133" customFormat="1" ht="22.5" customHeight="1" x14ac:dyDescent="0.15">
      <c r="J11" s="133" t="s">
        <v>192</v>
      </c>
      <c r="K11" s="265">
        <v>16500</v>
      </c>
      <c r="L11" s="571" t="s">
        <v>1035</v>
      </c>
      <c r="M11" s="571" t="b">
        <v>1</v>
      </c>
      <c r="O11" s="137" t="s">
        <v>846</v>
      </c>
      <c r="P11" s="137" t="s">
        <v>962</v>
      </c>
      <c r="Q11" s="137" t="s">
        <v>968</v>
      </c>
      <c r="R11" s="137" t="s">
        <v>984</v>
      </c>
      <c r="S11" s="496" t="str">
        <f>+LEFT(入力シート!F41,3)</f>
        <v/>
      </c>
      <c r="AE11" s="137"/>
      <c r="AG11" s="496" t="s">
        <v>997</v>
      </c>
      <c r="AH11" s="133" t="s">
        <v>148</v>
      </c>
    </row>
    <row r="12" spans="1:34" s="133" customFormat="1" ht="22.5" customHeight="1" x14ac:dyDescent="0.15">
      <c r="J12" s="133" t="s">
        <v>193</v>
      </c>
      <c r="K12" s="265">
        <v>16500</v>
      </c>
      <c r="L12" s="571" t="s">
        <v>1024</v>
      </c>
      <c r="M12" s="571" t="b">
        <v>1</v>
      </c>
      <c r="O12" s="137" t="s">
        <v>847</v>
      </c>
      <c r="P12" s="137" t="s">
        <v>962</v>
      </c>
      <c r="Q12" s="137" t="s">
        <v>967</v>
      </c>
      <c r="R12" s="137" t="s">
        <v>986</v>
      </c>
      <c r="S12" s="598" t="e" cm="1">
        <f t="array" ref="S12">+_xlfn.IFS(入力シート!G34=基本入力データシート!Y4,"仕様基準",OR(入力シート!G34=基本入力データシート!Y5,入力シート!G34=基本入力データシート!Y7),"単独",OR(入力シート!G34=基本入力データシート!Y6,入力シート!G34=基本入力データシート!Y8),"併用")</f>
        <v>#N/A</v>
      </c>
      <c r="V12" s="137"/>
      <c r="W12" s="137"/>
      <c r="X12" s="137"/>
      <c r="AE12" s="137"/>
      <c r="AG12" s="496" t="s">
        <v>998</v>
      </c>
      <c r="AH12" s="133" t="s">
        <v>148</v>
      </c>
    </row>
    <row r="13" spans="1:34" s="133" customFormat="1" ht="22.5" customHeight="1" x14ac:dyDescent="0.15">
      <c r="J13" s="133" t="s">
        <v>248</v>
      </c>
      <c r="K13" s="265">
        <v>2200</v>
      </c>
      <c r="L13" s="570" t="s">
        <v>1037</v>
      </c>
      <c r="M13" s="570" t="b">
        <v>0</v>
      </c>
      <c r="O13" s="137" t="s">
        <v>848</v>
      </c>
      <c r="P13" s="137" t="s">
        <v>962</v>
      </c>
      <c r="Q13" s="137" t="s">
        <v>967</v>
      </c>
      <c r="R13" s="137" t="s">
        <v>986</v>
      </c>
      <c r="S13" s="137"/>
      <c r="V13" s="137"/>
      <c r="W13" s="137"/>
      <c r="X13" s="137"/>
      <c r="AE13" s="137"/>
      <c r="AG13" s="133" t="s">
        <v>68</v>
      </c>
      <c r="AH13" s="133" t="s">
        <v>135</v>
      </c>
    </row>
    <row r="14" spans="1:34" s="133" customFormat="1" ht="22.5" customHeight="1" x14ac:dyDescent="0.15">
      <c r="J14" s="133" t="s">
        <v>353</v>
      </c>
      <c r="K14" s="265">
        <v>7700</v>
      </c>
      <c r="L14" s="571" t="s">
        <v>1025</v>
      </c>
      <c r="M14" s="571" t="b">
        <v>1</v>
      </c>
      <c r="O14" s="133" t="s">
        <v>835</v>
      </c>
      <c r="P14" s="137" t="s">
        <v>962</v>
      </c>
      <c r="Q14" s="137" t="s">
        <v>967</v>
      </c>
      <c r="R14" s="137" t="s">
        <v>986</v>
      </c>
      <c r="S14" s="137"/>
      <c r="V14" s="137"/>
      <c r="W14" s="137"/>
      <c r="X14" s="137"/>
      <c r="AG14" s="133" t="s">
        <v>69</v>
      </c>
      <c r="AH14" s="133" t="s">
        <v>136</v>
      </c>
    </row>
    <row r="15" spans="1:34" s="133" customFormat="1" ht="22.5" customHeight="1" x14ac:dyDescent="0.15">
      <c r="J15" s="133" t="s">
        <v>354</v>
      </c>
      <c r="K15" s="265">
        <v>7700</v>
      </c>
      <c r="L15" s="570" t="s">
        <v>1026</v>
      </c>
      <c r="M15" s="570" t="b">
        <v>0</v>
      </c>
      <c r="O15" s="137" t="s">
        <v>849</v>
      </c>
      <c r="P15" s="137" t="s">
        <v>962</v>
      </c>
      <c r="Q15" s="137" t="s">
        <v>967</v>
      </c>
      <c r="R15" s="137" t="s">
        <v>986</v>
      </c>
      <c r="S15" s="137"/>
      <c r="V15" s="137"/>
      <c r="W15" s="137"/>
      <c r="X15" s="137"/>
      <c r="AE15" s="137"/>
      <c r="AG15" s="133" t="s">
        <v>70</v>
      </c>
      <c r="AH15" s="133" t="s">
        <v>137</v>
      </c>
    </row>
    <row r="16" spans="1:34" s="133" customFormat="1" ht="22.5" customHeight="1" x14ac:dyDescent="0.15">
      <c r="J16" s="133" t="s">
        <v>355</v>
      </c>
      <c r="K16" s="265">
        <v>7700</v>
      </c>
      <c r="L16" s="570" t="s">
        <v>1030</v>
      </c>
      <c r="M16" s="570" t="b">
        <v>0</v>
      </c>
      <c r="O16" s="137" t="s">
        <v>850</v>
      </c>
      <c r="P16" s="137" t="s">
        <v>962</v>
      </c>
      <c r="Q16" s="137" t="s">
        <v>967</v>
      </c>
      <c r="R16" s="137" t="s">
        <v>986</v>
      </c>
      <c r="S16" s="137"/>
      <c r="V16" s="137"/>
      <c r="W16" s="137"/>
      <c r="X16" s="137"/>
      <c r="AE16" s="137"/>
      <c r="AG16" s="133" t="s">
        <v>1145</v>
      </c>
      <c r="AH16" s="133" t="s">
        <v>137</v>
      </c>
    </row>
    <row r="17" spans="8:34" s="133" customFormat="1" ht="22.5" customHeight="1" x14ac:dyDescent="0.15">
      <c r="J17" s="133" t="s">
        <v>356</v>
      </c>
      <c r="K17" s="265">
        <v>7700</v>
      </c>
      <c r="L17" s="570" t="s">
        <v>1039</v>
      </c>
      <c r="M17" s="570" t="b">
        <v>0</v>
      </c>
      <c r="O17" s="132" t="s">
        <v>870</v>
      </c>
      <c r="P17" s="137" t="s">
        <v>962</v>
      </c>
      <c r="Q17" s="137" t="s">
        <v>967</v>
      </c>
      <c r="R17" s="137" t="s">
        <v>986</v>
      </c>
      <c r="S17" s="137"/>
      <c r="V17" s="137"/>
      <c r="W17" s="137"/>
      <c r="X17" s="137"/>
      <c r="AE17" s="132"/>
      <c r="AG17" s="133" t="s">
        <v>71</v>
      </c>
      <c r="AH17" s="133" t="s">
        <v>138</v>
      </c>
    </row>
    <row r="18" spans="8:34" s="133" customFormat="1" ht="22.5" customHeight="1" x14ac:dyDescent="0.15">
      <c r="J18" s="133" t="s">
        <v>249</v>
      </c>
      <c r="K18" s="265">
        <v>7700</v>
      </c>
      <c r="L18" s="566" t="s">
        <v>1010</v>
      </c>
      <c r="M18" s="265" t="b">
        <v>0</v>
      </c>
      <c r="O18" s="137" t="s">
        <v>863</v>
      </c>
      <c r="P18" s="137" t="s">
        <v>962</v>
      </c>
      <c r="Q18" s="137" t="s">
        <v>968</v>
      </c>
      <c r="R18" s="137" t="s">
        <v>984</v>
      </c>
      <c r="S18" s="137"/>
      <c r="V18" s="137"/>
      <c r="W18" s="137"/>
      <c r="X18" s="137"/>
      <c r="AE18" s="137"/>
      <c r="AG18" s="133" t="s">
        <v>1146</v>
      </c>
      <c r="AH18" s="133" t="s">
        <v>138</v>
      </c>
    </row>
    <row r="19" spans="8:34" s="133" customFormat="1" ht="22.5" customHeight="1" x14ac:dyDescent="0.15">
      <c r="J19" s="133" t="s">
        <v>250</v>
      </c>
      <c r="K19" s="265">
        <v>7700</v>
      </c>
      <c r="L19" s="566" t="s">
        <v>1012</v>
      </c>
      <c r="M19" s="265" t="b">
        <v>0</v>
      </c>
      <c r="O19" s="133" t="s">
        <v>826</v>
      </c>
      <c r="P19" s="137" t="s">
        <v>962</v>
      </c>
      <c r="Q19" s="137" t="s">
        <v>974</v>
      </c>
      <c r="R19" s="137" t="s">
        <v>984</v>
      </c>
      <c r="S19" s="137"/>
      <c r="V19" s="137"/>
      <c r="W19" s="137"/>
      <c r="X19" s="137"/>
      <c r="AG19" s="133" t="s">
        <v>72</v>
      </c>
      <c r="AH19" s="133" t="s">
        <v>139</v>
      </c>
    </row>
    <row r="20" spans="8:34" s="133" customFormat="1" ht="22.5" customHeight="1" x14ac:dyDescent="0.15">
      <c r="J20" s="133" t="s">
        <v>251</v>
      </c>
      <c r="K20" s="265">
        <v>7700</v>
      </c>
      <c r="L20" s="566" t="s">
        <v>1013</v>
      </c>
      <c r="M20" s="265" t="b">
        <v>0</v>
      </c>
      <c r="O20" s="133" t="s">
        <v>813</v>
      </c>
      <c r="P20" s="137" t="s">
        <v>962</v>
      </c>
      <c r="Q20" s="137" t="s">
        <v>971</v>
      </c>
      <c r="R20" s="137" t="s">
        <v>984</v>
      </c>
      <c r="S20" s="137"/>
      <c r="V20" s="137"/>
      <c r="W20" s="137"/>
      <c r="X20" s="137"/>
      <c r="AG20" s="133" t="s">
        <v>73</v>
      </c>
      <c r="AH20" s="133" t="s">
        <v>140</v>
      </c>
    </row>
    <row r="21" spans="8:34" s="133" customFormat="1" ht="22.5" customHeight="1" x14ac:dyDescent="0.15">
      <c r="J21" s="133" t="s">
        <v>252</v>
      </c>
      <c r="K21" s="265">
        <v>7700</v>
      </c>
      <c r="L21" s="566" t="s">
        <v>1016</v>
      </c>
      <c r="M21" s="566" t="b">
        <v>0</v>
      </c>
      <c r="O21" s="133" t="s">
        <v>814</v>
      </c>
      <c r="P21" s="137" t="s">
        <v>962</v>
      </c>
      <c r="Q21" s="137" t="s">
        <v>969</v>
      </c>
      <c r="R21" s="137" t="s">
        <v>984</v>
      </c>
      <c r="S21" s="137"/>
      <c r="V21" s="137"/>
      <c r="W21" s="137"/>
      <c r="X21" s="137"/>
      <c r="AG21" s="133" t="s">
        <v>74</v>
      </c>
      <c r="AH21" s="133" t="s">
        <v>141</v>
      </c>
    </row>
    <row r="22" spans="8:34" s="133" customFormat="1" ht="22.5" customHeight="1" x14ac:dyDescent="0.15">
      <c r="J22" s="133" t="s">
        <v>253</v>
      </c>
      <c r="K22" s="265">
        <v>7700</v>
      </c>
      <c r="L22" s="566" t="s">
        <v>1017</v>
      </c>
      <c r="M22" s="566" t="b">
        <v>0</v>
      </c>
      <c r="O22" s="133" t="s">
        <v>815</v>
      </c>
      <c r="P22" s="137" t="s">
        <v>962</v>
      </c>
      <c r="Q22" s="137" t="s">
        <v>969</v>
      </c>
      <c r="R22" s="137" t="s">
        <v>984</v>
      </c>
      <c r="S22" s="137"/>
      <c r="V22" s="137"/>
      <c r="W22" s="137"/>
      <c r="X22" s="137"/>
      <c r="AG22" s="133" t="s">
        <v>75</v>
      </c>
      <c r="AH22" s="133" t="s">
        <v>142</v>
      </c>
    </row>
    <row r="23" spans="8:34" s="133" customFormat="1" ht="22.5" customHeight="1" x14ac:dyDescent="0.15">
      <c r="J23" s="133" t="s">
        <v>259</v>
      </c>
      <c r="K23" s="265">
        <v>7700</v>
      </c>
      <c r="L23" s="566" t="s">
        <v>1018</v>
      </c>
      <c r="M23" s="566" t="b">
        <v>0</v>
      </c>
      <c r="O23" s="133" t="s">
        <v>816</v>
      </c>
      <c r="P23" s="137" t="s">
        <v>962</v>
      </c>
      <c r="Q23" s="137" t="s">
        <v>969</v>
      </c>
      <c r="R23" s="137" t="s">
        <v>984</v>
      </c>
      <c r="S23" s="137"/>
      <c r="V23" s="137"/>
      <c r="W23" s="137"/>
      <c r="X23" s="137"/>
      <c r="AG23" s="133" t="s">
        <v>76</v>
      </c>
      <c r="AH23" s="133" t="s">
        <v>143</v>
      </c>
    </row>
    <row r="24" spans="8:34" s="133" customFormat="1" ht="22.5" customHeight="1" x14ac:dyDescent="0.15">
      <c r="J24" s="133" t="s">
        <v>260</v>
      </c>
      <c r="K24" s="265">
        <v>7700</v>
      </c>
      <c r="L24" s="566" t="s">
        <v>1019</v>
      </c>
      <c r="M24" s="566" t="b">
        <v>0</v>
      </c>
      <c r="O24" s="133" t="s">
        <v>817</v>
      </c>
      <c r="P24" s="137" t="s">
        <v>962</v>
      </c>
      <c r="Q24" s="137" t="s">
        <v>969</v>
      </c>
      <c r="R24" s="137" t="s">
        <v>984</v>
      </c>
      <c r="S24" s="137"/>
      <c r="V24" s="137"/>
      <c r="W24" s="137"/>
      <c r="X24" s="137"/>
      <c r="AG24" s="133" t="s">
        <v>937</v>
      </c>
      <c r="AH24" s="133" t="s">
        <v>931</v>
      </c>
    </row>
    <row r="25" spans="8:34" s="133" customFormat="1" ht="22.5" customHeight="1" x14ac:dyDescent="0.15">
      <c r="J25" s="133" t="s">
        <v>254</v>
      </c>
      <c r="K25" s="265">
        <v>7700</v>
      </c>
      <c r="L25" s="566" t="s">
        <v>1020</v>
      </c>
      <c r="M25" s="566" t="b">
        <v>0</v>
      </c>
      <c r="O25" s="133" t="s">
        <v>818</v>
      </c>
      <c r="P25" s="137" t="s">
        <v>962</v>
      </c>
      <c r="Q25" s="137" t="s">
        <v>977</v>
      </c>
      <c r="R25" s="137" t="s">
        <v>984</v>
      </c>
      <c r="S25" s="137"/>
      <c r="V25" s="137"/>
      <c r="W25" s="137"/>
      <c r="X25" s="137"/>
      <c r="AG25" s="496" t="s">
        <v>938</v>
      </c>
      <c r="AH25" s="133" t="s">
        <v>932</v>
      </c>
    </row>
    <row r="26" spans="8:34" s="133" customFormat="1" ht="22.5" customHeight="1" x14ac:dyDescent="0.15">
      <c r="J26" s="133" t="s">
        <v>255</v>
      </c>
      <c r="K26" s="265">
        <v>7700</v>
      </c>
      <c r="L26" s="566" t="s">
        <v>1021</v>
      </c>
      <c r="M26" s="566" t="b">
        <v>0</v>
      </c>
      <c r="O26" s="133" t="s">
        <v>819</v>
      </c>
      <c r="P26" s="137" t="s">
        <v>962</v>
      </c>
      <c r="Q26" s="137" t="s">
        <v>969</v>
      </c>
      <c r="R26" s="137" t="s">
        <v>984</v>
      </c>
      <c r="S26" s="137"/>
      <c r="V26" s="137"/>
      <c r="W26" s="137"/>
      <c r="X26" s="137"/>
      <c r="AG26" s="133" t="s">
        <v>77</v>
      </c>
      <c r="AH26" s="133" t="s">
        <v>144</v>
      </c>
    </row>
    <row r="27" spans="8:34" s="133" customFormat="1" ht="22.5" customHeight="1" x14ac:dyDescent="0.15">
      <c r="J27" s="133" t="s">
        <v>256</v>
      </c>
      <c r="K27" s="265">
        <v>7700</v>
      </c>
      <c r="L27" s="566" t="s">
        <v>1061</v>
      </c>
      <c r="M27" s="566" t="b">
        <v>0</v>
      </c>
      <c r="O27" s="133" t="s">
        <v>820</v>
      </c>
      <c r="P27" s="137" t="s">
        <v>962</v>
      </c>
      <c r="Q27" s="137" t="s">
        <v>969</v>
      </c>
      <c r="R27" s="137" t="s">
        <v>984</v>
      </c>
      <c r="S27" s="137"/>
      <c r="V27" s="137"/>
      <c r="W27" s="137"/>
      <c r="X27" s="137"/>
      <c r="AG27" s="133" t="s">
        <v>78</v>
      </c>
      <c r="AH27" s="133" t="s">
        <v>145</v>
      </c>
    </row>
    <row r="28" spans="8:34" s="133" customFormat="1" ht="22.5" customHeight="1" x14ac:dyDescent="0.15">
      <c r="J28" s="133" t="s">
        <v>257</v>
      </c>
      <c r="K28" s="265">
        <v>7700</v>
      </c>
      <c r="L28" s="566" t="s">
        <v>1036</v>
      </c>
      <c r="M28" s="566" t="b">
        <v>0</v>
      </c>
      <c r="O28" s="133" t="s">
        <v>821</v>
      </c>
      <c r="P28" s="137" t="s">
        <v>962</v>
      </c>
      <c r="Q28" s="137" t="s">
        <v>971</v>
      </c>
      <c r="R28" s="137" t="s">
        <v>984</v>
      </c>
      <c r="S28" s="137"/>
      <c r="V28" s="137"/>
      <c r="W28" s="137"/>
      <c r="X28" s="137"/>
      <c r="AG28" s="133" t="s">
        <v>79</v>
      </c>
      <c r="AH28" s="133" t="s">
        <v>146</v>
      </c>
    </row>
    <row r="29" spans="8:34" s="133" customFormat="1" ht="22.5" customHeight="1" x14ac:dyDescent="0.15">
      <c r="J29" s="133" t="s">
        <v>258</v>
      </c>
      <c r="K29" s="265">
        <v>7700</v>
      </c>
      <c r="L29" s="566" t="s">
        <v>1027</v>
      </c>
      <c r="M29" s="566" t="b">
        <v>0</v>
      </c>
      <c r="O29" s="133" t="s">
        <v>822</v>
      </c>
      <c r="P29" s="137" t="s">
        <v>962</v>
      </c>
      <c r="Q29" s="137" t="s">
        <v>968</v>
      </c>
      <c r="R29" s="137" t="s">
        <v>984</v>
      </c>
      <c r="S29" s="137"/>
      <c r="V29" s="137"/>
      <c r="W29" s="137"/>
      <c r="X29" s="137"/>
      <c r="AG29" s="133" t="s">
        <v>939</v>
      </c>
      <c r="AH29" s="133" t="s">
        <v>933</v>
      </c>
    </row>
    <row r="30" spans="8:34" s="133" customFormat="1" ht="22.5" customHeight="1" x14ac:dyDescent="0.15">
      <c r="J30" s="133" t="s">
        <v>261</v>
      </c>
      <c r="K30" s="265">
        <v>7700</v>
      </c>
      <c r="L30" s="566" t="s">
        <v>1038</v>
      </c>
      <c r="M30" s="566" t="b">
        <v>0</v>
      </c>
      <c r="O30" s="133" t="s">
        <v>823</v>
      </c>
      <c r="P30" s="137" t="s">
        <v>962</v>
      </c>
      <c r="Q30" s="137" t="s">
        <v>968</v>
      </c>
      <c r="R30" s="137" t="s">
        <v>984</v>
      </c>
      <c r="S30" s="137"/>
      <c r="V30" s="137"/>
      <c r="W30" s="137"/>
      <c r="X30" s="137"/>
      <c r="AG30" s="496" t="s">
        <v>940</v>
      </c>
      <c r="AH30" s="133" t="s">
        <v>934</v>
      </c>
    </row>
    <row r="31" spans="8:34" s="133" customFormat="1" ht="22.5" customHeight="1" x14ac:dyDescent="0.15">
      <c r="J31" s="133" t="s">
        <v>246</v>
      </c>
      <c r="K31" s="265">
        <v>7700</v>
      </c>
      <c r="L31" s="566" t="s">
        <v>1028</v>
      </c>
      <c r="M31" s="566" t="b">
        <v>0</v>
      </c>
      <c r="O31" s="133" t="s">
        <v>824</v>
      </c>
      <c r="P31" s="137" t="s">
        <v>962</v>
      </c>
      <c r="Q31" s="137" t="s">
        <v>968</v>
      </c>
      <c r="R31" s="137" t="s">
        <v>984</v>
      </c>
      <c r="S31" s="137"/>
      <c r="V31" s="137"/>
      <c r="W31" s="137"/>
      <c r="X31" s="137"/>
      <c r="AG31" s="133" t="s">
        <v>80</v>
      </c>
      <c r="AH31" s="133" t="s">
        <v>147</v>
      </c>
    </row>
    <row r="32" spans="8:34" s="133" customFormat="1" ht="22.5" customHeight="1" x14ac:dyDescent="0.15">
      <c r="H32" s="267"/>
      <c r="J32" s="133" t="s">
        <v>240</v>
      </c>
      <c r="K32" s="265">
        <v>7700</v>
      </c>
      <c r="L32" s="566" t="s">
        <v>1029</v>
      </c>
      <c r="M32" s="566" t="b">
        <v>0</v>
      </c>
      <c r="O32" s="133" t="s">
        <v>825</v>
      </c>
      <c r="P32" s="137" t="s">
        <v>962</v>
      </c>
      <c r="Q32" s="137" t="s">
        <v>968</v>
      </c>
      <c r="R32" s="137" t="s">
        <v>984</v>
      </c>
      <c r="S32" s="137"/>
      <c r="V32" s="137"/>
      <c r="W32" s="137"/>
      <c r="X32" s="137"/>
      <c r="AG32" s="133" t="s">
        <v>81</v>
      </c>
      <c r="AH32" s="133" t="s">
        <v>935</v>
      </c>
    </row>
    <row r="33" spans="8:35" s="133" customFormat="1" ht="22.5" customHeight="1" x14ac:dyDescent="0.15">
      <c r="H33" s="267"/>
      <c r="J33" s="133" t="s">
        <v>241</v>
      </c>
      <c r="K33" s="265">
        <v>7700</v>
      </c>
      <c r="L33" s="566" t="s">
        <v>1040</v>
      </c>
      <c r="M33" s="566" t="b">
        <v>0</v>
      </c>
      <c r="O33" s="133" t="s">
        <v>827</v>
      </c>
      <c r="P33" s="137" t="s">
        <v>962</v>
      </c>
      <c r="Q33" s="137" t="s">
        <v>971</v>
      </c>
      <c r="R33" s="137" t="s">
        <v>984</v>
      </c>
      <c r="S33" s="137"/>
      <c r="V33" s="137"/>
      <c r="W33" s="137"/>
      <c r="X33" s="137"/>
    </row>
    <row r="34" spans="8:35" s="133" customFormat="1" ht="22.5" customHeight="1" x14ac:dyDescent="0.15">
      <c r="H34" s="267"/>
      <c r="J34" s="133" t="s">
        <v>242</v>
      </c>
      <c r="K34" s="265">
        <v>7700</v>
      </c>
      <c r="L34" s="566" t="s">
        <v>1041</v>
      </c>
      <c r="M34" s="566" t="b">
        <v>0</v>
      </c>
      <c r="O34" s="133" t="s">
        <v>871</v>
      </c>
      <c r="P34" s="137" t="s">
        <v>962</v>
      </c>
      <c r="Q34" s="137" t="s">
        <v>972</v>
      </c>
      <c r="R34" s="137" t="s">
        <v>984</v>
      </c>
    </row>
    <row r="35" spans="8:35" s="133" customFormat="1" ht="22.5" customHeight="1" x14ac:dyDescent="0.15">
      <c r="H35" s="267"/>
      <c r="J35" s="133" t="s">
        <v>243</v>
      </c>
      <c r="K35" s="265">
        <v>7700</v>
      </c>
      <c r="L35" s="566" t="s">
        <v>1031</v>
      </c>
      <c r="M35" s="265" t="b">
        <v>0</v>
      </c>
      <c r="O35" s="133" t="s">
        <v>862</v>
      </c>
      <c r="P35" s="137" t="s">
        <v>962</v>
      </c>
      <c r="Q35" s="137" t="s">
        <v>973</v>
      </c>
      <c r="R35" s="137" t="s">
        <v>984</v>
      </c>
      <c r="S35" s="137"/>
      <c r="V35" s="137"/>
      <c r="W35" s="137"/>
      <c r="X35" s="137"/>
    </row>
    <row r="36" spans="8:35" s="133" customFormat="1" ht="22.5" customHeight="1" x14ac:dyDescent="0.15">
      <c r="H36" s="267"/>
      <c r="J36" s="133" t="s">
        <v>335</v>
      </c>
      <c r="K36" s="265">
        <v>7700</v>
      </c>
      <c r="L36" s="566" t="s">
        <v>1032</v>
      </c>
      <c r="M36" s="265" t="b">
        <v>0</v>
      </c>
      <c r="O36" s="133" t="s">
        <v>872</v>
      </c>
      <c r="P36" s="137" t="s">
        <v>962</v>
      </c>
      <c r="Q36" s="137" t="s">
        <v>974</v>
      </c>
      <c r="R36" s="137" t="s">
        <v>984</v>
      </c>
      <c r="S36" s="137"/>
      <c r="V36" s="137"/>
      <c r="W36" s="137"/>
      <c r="X36" s="137"/>
    </row>
    <row r="37" spans="8:35" s="133" customFormat="1" ht="22.5" customHeight="1" x14ac:dyDescent="0.15">
      <c r="H37" s="267"/>
      <c r="J37" s="133" t="s">
        <v>336</v>
      </c>
      <c r="K37" s="265">
        <v>7700</v>
      </c>
      <c r="L37" s="566" t="s">
        <v>1033</v>
      </c>
      <c r="M37" s="265" t="b">
        <v>0</v>
      </c>
      <c r="O37" s="133" t="s">
        <v>869</v>
      </c>
      <c r="P37" s="137" t="s">
        <v>962</v>
      </c>
      <c r="Q37" s="137" t="s">
        <v>966</v>
      </c>
      <c r="R37" s="137" t="s">
        <v>985</v>
      </c>
      <c r="S37" s="137"/>
      <c r="V37" s="137"/>
      <c r="W37" s="137"/>
      <c r="X37" s="137"/>
    </row>
    <row r="38" spans="8:35" s="133" customFormat="1" ht="22.5" customHeight="1" x14ac:dyDescent="0.15">
      <c r="H38" s="267"/>
      <c r="J38" s="133" t="s">
        <v>337</v>
      </c>
      <c r="K38" s="265">
        <v>7700</v>
      </c>
      <c r="L38" s="566" t="s">
        <v>1087</v>
      </c>
      <c r="M38" s="575" t="b">
        <f>IF(COUNTIF(M18:M20,TRUE),TRUE,FALSE)</f>
        <v>0</v>
      </c>
      <c r="O38" s="133" t="s">
        <v>868</v>
      </c>
      <c r="P38" s="137" t="s">
        <v>962</v>
      </c>
      <c r="Q38" s="137" t="s">
        <v>968</v>
      </c>
      <c r="R38" s="137" t="s">
        <v>984</v>
      </c>
      <c r="S38" s="137"/>
      <c r="V38" s="137"/>
      <c r="W38" s="137"/>
      <c r="X38" s="137"/>
    </row>
    <row r="39" spans="8:35" s="133" customFormat="1" ht="22.5" customHeight="1" x14ac:dyDescent="0.15">
      <c r="H39" s="267"/>
      <c r="J39" s="133" t="s">
        <v>338</v>
      </c>
      <c r="K39" s="265">
        <v>7700</v>
      </c>
      <c r="L39" s="133" t="s">
        <v>1088</v>
      </c>
      <c r="M39" s="575" t="b">
        <f>IF(COUNTIF(M20:M27,TRUE),TRUE,FALSE)</f>
        <v>0</v>
      </c>
      <c r="O39" s="133" t="s">
        <v>866</v>
      </c>
      <c r="P39" s="137" t="s">
        <v>962</v>
      </c>
      <c r="Q39" s="137" t="s">
        <v>972</v>
      </c>
      <c r="R39" s="137" t="s">
        <v>984</v>
      </c>
      <c r="S39" s="137"/>
      <c r="V39" s="137"/>
      <c r="W39" s="137"/>
      <c r="X39" s="137"/>
    </row>
    <row r="40" spans="8:35" s="133" customFormat="1" ht="22.5" customHeight="1" x14ac:dyDescent="0.15">
      <c r="H40" s="267"/>
      <c r="J40" s="133" t="s">
        <v>339</v>
      </c>
      <c r="K40" s="265">
        <v>7700</v>
      </c>
      <c r="L40" s="133" t="s">
        <v>1089</v>
      </c>
      <c r="M40" s="575" t="b">
        <f>IF(COUNTIF(M28,TRUE),TRUE,FALSE)</f>
        <v>0</v>
      </c>
      <c r="O40" s="133" t="s">
        <v>867</v>
      </c>
      <c r="P40" s="137" t="s">
        <v>962</v>
      </c>
      <c r="Q40" s="137" t="s">
        <v>973</v>
      </c>
      <c r="R40" s="137" t="s">
        <v>984</v>
      </c>
      <c r="S40" s="137"/>
      <c r="V40" s="137"/>
      <c r="W40" s="137"/>
      <c r="X40" s="137"/>
    </row>
    <row r="41" spans="8:35" s="133" customFormat="1" ht="22.5" customHeight="1" x14ac:dyDescent="0.15">
      <c r="H41" s="267"/>
      <c r="J41" s="133" t="s">
        <v>340</v>
      </c>
      <c r="K41" s="265">
        <v>7700</v>
      </c>
      <c r="L41" s="566" t="s">
        <v>1090</v>
      </c>
      <c r="M41" s="575" t="b">
        <f>IF(COUNTIF(M29:M30,TRUE),TRUE,FALSE)</f>
        <v>0</v>
      </c>
      <c r="O41" s="133" t="s">
        <v>828</v>
      </c>
      <c r="P41" s="137" t="s">
        <v>962</v>
      </c>
      <c r="Q41" s="137" t="s">
        <v>972</v>
      </c>
      <c r="R41" s="137" t="s">
        <v>984</v>
      </c>
      <c r="S41" s="137"/>
      <c r="V41" s="137"/>
      <c r="W41" s="137"/>
      <c r="X41" s="137"/>
    </row>
    <row r="42" spans="8:35" s="133" customFormat="1" ht="22.5" customHeight="1" x14ac:dyDescent="0.15">
      <c r="H42" s="267"/>
      <c r="J42" s="133" t="s">
        <v>341</v>
      </c>
      <c r="K42" s="265">
        <v>7700</v>
      </c>
      <c r="L42" s="133" t="s">
        <v>1091</v>
      </c>
      <c r="M42" s="575" t="b">
        <f>IF(COUNTIF(M31:M32,TRUE),TRUE,FALSE)</f>
        <v>0</v>
      </c>
      <c r="O42" s="133" t="s">
        <v>829</v>
      </c>
      <c r="P42" s="137" t="s">
        <v>962</v>
      </c>
      <c r="Q42" s="137" t="s">
        <v>966</v>
      </c>
      <c r="R42" s="137" t="s">
        <v>985</v>
      </c>
      <c r="S42" s="137"/>
      <c r="V42" s="137"/>
      <c r="W42" s="137"/>
      <c r="X42" s="137"/>
    </row>
    <row r="43" spans="8:35" s="133" customFormat="1" ht="22.5" customHeight="1" x14ac:dyDescent="0.15">
      <c r="H43" s="267"/>
      <c r="J43" s="133" t="s">
        <v>342</v>
      </c>
      <c r="K43" s="265">
        <v>7700</v>
      </c>
      <c r="L43" s="133" t="s">
        <v>1092</v>
      </c>
      <c r="M43" s="575" t="b">
        <f>IF(COUNTIF(M33:M34,TRUE),TRUE,FALSE)</f>
        <v>0</v>
      </c>
      <c r="O43" s="133" t="s">
        <v>830</v>
      </c>
      <c r="P43" s="137" t="s">
        <v>962</v>
      </c>
      <c r="Q43" s="137" t="s">
        <v>14</v>
      </c>
      <c r="R43" s="137"/>
      <c r="S43" s="137"/>
      <c r="V43" s="137"/>
      <c r="W43" s="137"/>
      <c r="X43" s="137"/>
    </row>
    <row r="44" spans="8:35" s="133" customFormat="1" ht="22.5" customHeight="1" x14ac:dyDescent="0.15">
      <c r="H44" s="267"/>
      <c r="J44" s="133" t="s">
        <v>244</v>
      </c>
      <c r="K44" s="265">
        <v>7700</v>
      </c>
      <c r="L44" s="133" t="s">
        <v>1093</v>
      </c>
      <c r="M44" s="575" t="b">
        <f>IF(COUNTIF(M35:M36,TRUE),TRUE,FALSE)</f>
        <v>0</v>
      </c>
      <c r="O44" s="133" t="s">
        <v>831</v>
      </c>
      <c r="P44" s="137" t="s">
        <v>962</v>
      </c>
      <c r="Q44" s="137" t="s">
        <v>966</v>
      </c>
      <c r="R44" s="137" t="s">
        <v>985</v>
      </c>
      <c r="S44" s="137"/>
      <c r="V44" s="137"/>
      <c r="W44" s="137"/>
      <c r="X44" s="137"/>
    </row>
    <row r="45" spans="8:35" s="133" customFormat="1" ht="22.5" customHeight="1" x14ac:dyDescent="0.15">
      <c r="H45" s="267"/>
      <c r="J45" s="133" t="s">
        <v>343</v>
      </c>
      <c r="K45" s="265">
        <v>7700</v>
      </c>
      <c r="L45" s="132" t="s">
        <v>1094</v>
      </c>
      <c r="M45" s="575" t="b">
        <f>IF(COUNTIF(M37,TRUE),TRUE,FALSE)</f>
        <v>0</v>
      </c>
      <c r="O45" s="133" t="s">
        <v>832</v>
      </c>
      <c r="P45" s="137" t="s">
        <v>962</v>
      </c>
      <c r="Q45" s="137" t="s">
        <v>966</v>
      </c>
      <c r="R45" s="137" t="s">
        <v>985</v>
      </c>
      <c r="S45" s="137"/>
      <c r="V45" s="137"/>
      <c r="W45" s="137"/>
      <c r="X45" s="137"/>
    </row>
    <row r="46" spans="8:35" s="133" customFormat="1" ht="22.5" customHeight="1" x14ac:dyDescent="0.15">
      <c r="H46" s="267"/>
      <c r="J46" s="133" t="s">
        <v>245</v>
      </c>
      <c r="K46" s="265">
        <v>7700</v>
      </c>
      <c r="L46" s="566" t="s">
        <v>1095</v>
      </c>
      <c r="M46" s="575">
        <f>+COUNTIF(M38:M45,TRUE)</f>
        <v>0</v>
      </c>
      <c r="O46" s="133" t="s">
        <v>833</v>
      </c>
      <c r="P46" s="137" t="s">
        <v>962</v>
      </c>
      <c r="Q46" s="137" t="s">
        <v>14</v>
      </c>
      <c r="R46" s="137"/>
      <c r="S46" s="137"/>
      <c r="V46" s="137"/>
      <c r="W46" s="137"/>
      <c r="X46" s="137"/>
    </row>
    <row r="47" spans="8:35" s="132" customFormat="1" ht="22.5" customHeight="1" x14ac:dyDescent="0.15">
      <c r="H47" s="267"/>
      <c r="J47" s="133" t="s">
        <v>344</v>
      </c>
      <c r="K47" s="265">
        <v>7700</v>
      </c>
      <c r="L47" s="566" t="s">
        <v>1053</v>
      </c>
      <c r="M47" s="265" t="b">
        <v>0</v>
      </c>
      <c r="O47" s="133" t="s">
        <v>834</v>
      </c>
      <c r="P47" s="137" t="s">
        <v>962</v>
      </c>
      <c r="Q47" s="137" t="s">
        <v>966</v>
      </c>
      <c r="R47" s="137" t="s">
        <v>985</v>
      </c>
      <c r="S47" s="137"/>
      <c r="V47" s="137"/>
      <c r="W47" s="137"/>
      <c r="X47" s="137"/>
      <c r="Y47" s="133"/>
      <c r="Z47" s="133"/>
      <c r="AE47" s="133"/>
      <c r="AG47" s="133"/>
      <c r="AH47" s="133"/>
      <c r="AI47" s="133"/>
    </row>
    <row r="48" spans="8:35" s="132" customFormat="1" ht="22.5" customHeight="1" x14ac:dyDescent="0.15">
      <c r="H48" s="267"/>
      <c r="J48" s="133" t="s">
        <v>345</v>
      </c>
      <c r="K48" s="265">
        <v>7700</v>
      </c>
      <c r="L48" s="566" t="s">
        <v>1054</v>
      </c>
      <c r="M48" s="265" t="b">
        <v>0</v>
      </c>
      <c r="O48" s="133" t="s">
        <v>836</v>
      </c>
      <c r="P48" s="137" t="s">
        <v>962</v>
      </c>
      <c r="Q48" s="137" t="s">
        <v>967</v>
      </c>
      <c r="R48" s="137" t="s">
        <v>986</v>
      </c>
      <c r="S48" s="137"/>
      <c r="V48" s="137"/>
      <c r="W48" s="137"/>
      <c r="X48" s="137"/>
      <c r="AE48" s="133"/>
      <c r="AG48" s="133"/>
      <c r="AH48" s="133"/>
      <c r="AI48" s="133"/>
    </row>
    <row r="49" spans="8:35" s="133" customFormat="1" ht="22.5" customHeight="1" x14ac:dyDescent="0.15">
      <c r="H49"/>
      <c r="J49" s="133" t="s">
        <v>346</v>
      </c>
      <c r="K49" s="265">
        <v>7700</v>
      </c>
      <c r="L49" s="566" t="s">
        <v>1055</v>
      </c>
      <c r="M49" s="265" t="b">
        <v>0</v>
      </c>
      <c r="O49" s="133" t="s">
        <v>837</v>
      </c>
      <c r="P49" s="137" t="s">
        <v>962</v>
      </c>
      <c r="Q49" s="137" t="s">
        <v>966</v>
      </c>
      <c r="R49" s="137" t="s">
        <v>985</v>
      </c>
      <c r="S49" s="137"/>
      <c r="V49" s="137"/>
      <c r="W49" s="137"/>
      <c r="X49" s="137"/>
      <c r="Y49" s="132"/>
      <c r="Z49" s="132"/>
    </row>
    <row r="50" spans="8:35" s="133" customFormat="1" ht="22.5" customHeight="1" x14ac:dyDescent="0.15">
      <c r="J50" s="133" t="s">
        <v>347</v>
      </c>
      <c r="K50" s="265">
        <v>7700</v>
      </c>
      <c r="L50" s="566" t="s">
        <v>1056</v>
      </c>
      <c r="M50" s="265" t="b">
        <v>0</v>
      </c>
      <c r="O50" s="132" t="s">
        <v>838</v>
      </c>
      <c r="P50" s="137" t="s">
        <v>962</v>
      </c>
      <c r="Q50" s="137" t="s">
        <v>968</v>
      </c>
      <c r="R50" s="137" t="s">
        <v>984</v>
      </c>
      <c r="S50" s="137"/>
      <c r="V50" s="137"/>
      <c r="W50" s="137"/>
      <c r="X50" s="137"/>
      <c r="AE50" s="132"/>
      <c r="AG50" s="132"/>
      <c r="AH50" s="132"/>
    </row>
    <row r="51" spans="8:35" s="133" customFormat="1" ht="22.5" customHeight="1" x14ac:dyDescent="0.15">
      <c r="J51" s="133" t="s">
        <v>348</v>
      </c>
      <c r="K51" s="265">
        <v>7700</v>
      </c>
      <c r="L51" s="566" t="s">
        <v>1057</v>
      </c>
      <c r="M51" s="265" t="b">
        <v>0</v>
      </c>
      <c r="O51" s="132" t="s">
        <v>865</v>
      </c>
      <c r="P51" s="137" t="s">
        <v>962</v>
      </c>
      <c r="Q51" s="137" t="s">
        <v>978</v>
      </c>
      <c r="R51" s="137" t="s">
        <v>1096</v>
      </c>
      <c r="S51" s="137"/>
      <c r="V51" s="137"/>
      <c r="W51" s="137"/>
      <c r="X51" s="137"/>
      <c r="AE51" s="132"/>
      <c r="AG51" s="132"/>
      <c r="AH51" s="132"/>
    </row>
    <row r="52" spans="8:35" s="133" customFormat="1" ht="22.5" customHeight="1" x14ac:dyDescent="0.15">
      <c r="J52" s="133" t="s">
        <v>349</v>
      </c>
      <c r="K52" s="265">
        <v>7700</v>
      </c>
      <c r="L52" s="566" t="s">
        <v>1058</v>
      </c>
      <c r="M52" s="265" t="b">
        <v>0</v>
      </c>
      <c r="O52" s="132" t="s">
        <v>839</v>
      </c>
      <c r="P52" s="137" t="s">
        <v>962</v>
      </c>
      <c r="Q52" s="137" t="s">
        <v>975</v>
      </c>
      <c r="R52" s="137" t="s">
        <v>984</v>
      </c>
      <c r="S52" s="137"/>
      <c r="V52" s="137"/>
      <c r="W52" s="137"/>
      <c r="X52" s="137"/>
      <c r="AE52" s="132"/>
    </row>
    <row r="53" spans="8:35" s="132" customFormat="1" ht="22.5" customHeight="1" x14ac:dyDescent="0.15">
      <c r="J53" s="133" t="s">
        <v>350</v>
      </c>
      <c r="K53" s="265">
        <v>7700</v>
      </c>
      <c r="L53" s="566" t="s">
        <v>650</v>
      </c>
      <c r="M53" s="265" t="b">
        <v>0</v>
      </c>
      <c r="O53" s="132" t="s">
        <v>840</v>
      </c>
      <c r="P53" s="137" t="s">
        <v>962</v>
      </c>
      <c r="Q53" s="137" t="s">
        <v>970</v>
      </c>
      <c r="R53" s="137" t="s">
        <v>984</v>
      </c>
      <c r="S53" s="137"/>
      <c r="V53" s="137"/>
      <c r="W53" s="137"/>
      <c r="X53" s="137"/>
      <c r="Y53" s="133"/>
      <c r="Z53" s="133"/>
      <c r="AG53" s="133"/>
      <c r="AH53" s="133"/>
      <c r="AI53" s="133"/>
    </row>
    <row r="54" spans="8:35" s="132" customFormat="1" ht="22.5" customHeight="1" x14ac:dyDescent="0.15">
      <c r="J54" s="133" t="s">
        <v>351</v>
      </c>
      <c r="K54" s="265">
        <v>7700</v>
      </c>
      <c r="L54" s="566" t="s">
        <v>1069</v>
      </c>
      <c r="M54" s="265" t="b">
        <v>0</v>
      </c>
      <c r="O54" s="132" t="s">
        <v>864</v>
      </c>
      <c r="P54" s="137" t="s">
        <v>962</v>
      </c>
      <c r="Q54" s="137" t="s">
        <v>14</v>
      </c>
      <c r="R54" s="137"/>
      <c r="S54" s="137"/>
      <c r="V54" s="137"/>
      <c r="W54" s="137"/>
      <c r="X54" s="137"/>
      <c r="AG54" s="133"/>
      <c r="AH54" s="133"/>
      <c r="AI54" s="133"/>
    </row>
    <row r="55" spans="8:35" s="132" customFormat="1" ht="22.5" customHeight="1" x14ac:dyDescent="0.15">
      <c r="J55" s="133" t="s">
        <v>352</v>
      </c>
      <c r="K55" s="265">
        <v>7700</v>
      </c>
      <c r="O55" s="132" t="s">
        <v>841</v>
      </c>
      <c r="P55" s="137" t="s">
        <v>962</v>
      </c>
      <c r="Q55" s="137" t="s">
        <v>976</v>
      </c>
      <c r="R55" s="137" t="s">
        <v>986</v>
      </c>
      <c r="S55" s="137"/>
      <c r="V55" s="137"/>
      <c r="W55" s="137"/>
      <c r="X55" s="137"/>
      <c r="AG55" s="133"/>
      <c r="AH55" s="133"/>
      <c r="AI55" s="133"/>
    </row>
    <row r="56" spans="8:35" s="132" customFormat="1" ht="22.5" customHeight="1" x14ac:dyDescent="0.15">
      <c r="J56" s="133" t="s">
        <v>247</v>
      </c>
      <c r="K56" s="265">
        <v>7700</v>
      </c>
      <c r="L56" s="566"/>
      <c r="M56" s="265"/>
      <c r="O56" s="132" t="s">
        <v>842</v>
      </c>
      <c r="P56" s="137" t="s">
        <v>962</v>
      </c>
      <c r="Q56" s="137" t="s">
        <v>979</v>
      </c>
      <c r="R56" s="137" t="s">
        <v>985</v>
      </c>
      <c r="S56" s="137"/>
      <c r="V56" s="137"/>
      <c r="W56" s="137"/>
      <c r="X56" s="137"/>
      <c r="AI56" s="133"/>
    </row>
    <row r="57" spans="8:35" s="132" customFormat="1" ht="22.5" customHeight="1" x14ac:dyDescent="0.15">
      <c r="J57" s="133" t="s">
        <v>232</v>
      </c>
      <c r="K57" s="265">
        <v>2200</v>
      </c>
      <c r="L57" s="566"/>
      <c r="M57" s="265"/>
      <c r="O57" s="132" t="s">
        <v>873</v>
      </c>
      <c r="P57" s="137" t="s">
        <v>962</v>
      </c>
      <c r="Q57" s="137" t="s">
        <v>980</v>
      </c>
      <c r="R57" s="137" t="s">
        <v>985</v>
      </c>
      <c r="S57" s="137"/>
      <c r="V57" s="137"/>
      <c r="W57" s="137"/>
      <c r="X57" s="137"/>
      <c r="AI57" s="133"/>
    </row>
    <row r="58" spans="8:35" s="132" customFormat="1" ht="22.5" customHeight="1" x14ac:dyDescent="0.15">
      <c r="J58" s="133" t="s">
        <v>233</v>
      </c>
      <c r="K58" s="265">
        <v>7700</v>
      </c>
      <c r="L58" s="566"/>
      <c r="M58" s="265"/>
      <c r="O58" s="132" t="s">
        <v>874</v>
      </c>
      <c r="P58" s="137" t="s">
        <v>962</v>
      </c>
      <c r="Q58" s="137" t="s">
        <v>981</v>
      </c>
      <c r="R58" s="137" t="s">
        <v>985</v>
      </c>
      <c r="S58" s="137"/>
      <c r="V58" s="137"/>
      <c r="W58" s="137"/>
      <c r="X58" s="137"/>
      <c r="AI58" s="133"/>
    </row>
    <row r="59" spans="8:35" s="132" customFormat="1" ht="22.5" customHeight="1" x14ac:dyDescent="0.15">
      <c r="J59" s="133" t="s">
        <v>234</v>
      </c>
      <c r="K59" s="265">
        <v>7700</v>
      </c>
      <c r="L59" s="566"/>
      <c r="M59" s="265"/>
      <c r="O59" s="137" t="s">
        <v>843</v>
      </c>
      <c r="P59" s="137" t="s">
        <v>962</v>
      </c>
      <c r="Q59" s="137" t="s">
        <v>981</v>
      </c>
      <c r="R59" s="137" t="s">
        <v>985</v>
      </c>
      <c r="S59" s="137"/>
      <c r="V59" s="137"/>
      <c r="W59" s="137"/>
      <c r="X59" s="137"/>
      <c r="AE59" s="137"/>
      <c r="AI59" s="133"/>
    </row>
    <row r="60" spans="8:35" s="132" customFormat="1" ht="22.5" customHeight="1" x14ac:dyDescent="0.15">
      <c r="J60" s="133" t="s">
        <v>416</v>
      </c>
      <c r="K60" s="265">
        <v>2200</v>
      </c>
      <c r="L60" s="566"/>
      <c r="M60" s="265"/>
      <c r="O60" s="137" t="s">
        <v>880</v>
      </c>
      <c r="P60" s="137" t="s">
        <v>962</v>
      </c>
      <c r="Q60" s="137" t="s">
        <v>979</v>
      </c>
      <c r="R60" s="137" t="s">
        <v>985</v>
      </c>
      <c r="S60" s="137"/>
      <c r="V60" s="137"/>
      <c r="W60" s="137"/>
      <c r="X60" s="137"/>
      <c r="AE60" s="137"/>
      <c r="AI60" s="133"/>
    </row>
    <row r="61" spans="8:35" s="132" customFormat="1" ht="22.5" customHeight="1" x14ac:dyDescent="0.15">
      <c r="J61" s="133" t="s">
        <v>235</v>
      </c>
      <c r="K61" s="265">
        <v>7700</v>
      </c>
      <c r="L61" s="566"/>
      <c r="M61" s="265"/>
      <c r="O61" s="137" t="s">
        <v>844</v>
      </c>
      <c r="P61" s="137" t="s">
        <v>962</v>
      </c>
      <c r="Q61" s="137" t="s">
        <v>966</v>
      </c>
      <c r="R61" s="137" t="s">
        <v>985</v>
      </c>
      <c r="S61" s="137"/>
      <c r="V61" s="137"/>
      <c r="W61" s="137"/>
      <c r="X61" s="137"/>
      <c r="AE61" s="137"/>
      <c r="AI61" s="133"/>
    </row>
    <row r="62" spans="8:35" s="132" customFormat="1" ht="22.5" customHeight="1" x14ac:dyDescent="0.15">
      <c r="J62" s="133" t="s">
        <v>236</v>
      </c>
      <c r="K62" s="265">
        <v>7700</v>
      </c>
      <c r="L62" s="568"/>
      <c r="M62" s="265"/>
      <c r="O62" s="137" t="s">
        <v>875</v>
      </c>
      <c r="P62" s="137" t="s">
        <v>962</v>
      </c>
      <c r="Q62" s="137" t="s">
        <v>979</v>
      </c>
      <c r="R62" s="137" t="s">
        <v>985</v>
      </c>
      <c r="S62" s="137"/>
      <c r="V62" s="137"/>
      <c r="W62" s="137"/>
      <c r="X62" s="137"/>
      <c r="AE62" s="137"/>
      <c r="AI62" s="133"/>
    </row>
    <row r="63" spans="8:35" s="132" customFormat="1" ht="22.5" customHeight="1" x14ac:dyDescent="0.15">
      <c r="J63" s="133" t="s">
        <v>238</v>
      </c>
      <c r="K63" s="265">
        <v>7700</v>
      </c>
      <c r="L63" s="566"/>
      <c r="M63" s="265"/>
      <c r="O63" s="137" t="s">
        <v>851</v>
      </c>
      <c r="P63" s="137" t="s">
        <v>962</v>
      </c>
      <c r="Q63" s="137" t="s">
        <v>968</v>
      </c>
      <c r="R63" s="137" t="s">
        <v>984</v>
      </c>
      <c r="S63" s="137"/>
      <c r="V63" s="137"/>
      <c r="W63" s="137"/>
      <c r="X63" s="137"/>
      <c r="AE63" s="137"/>
      <c r="AI63" s="133"/>
    </row>
    <row r="64" spans="8:35" s="132" customFormat="1" ht="22.5" customHeight="1" x14ac:dyDescent="0.15">
      <c r="J64" s="133" t="s">
        <v>239</v>
      </c>
      <c r="K64" s="265">
        <v>7700</v>
      </c>
      <c r="L64" s="566"/>
      <c r="M64" s="265"/>
      <c r="O64" s="137" t="s">
        <v>852</v>
      </c>
      <c r="P64" s="137" t="s">
        <v>962</v>
      </c>
      <c r="Q64" s="137" t="s">
        <v>968</v>
      </c>
      <c r="R64" s="137" t="s">
        <v>984</v>
      </c>
      <c r="S64" s="137"/>
      <c r="V64" s="137"/>
      <c r="W64" s="137"/>
      <c r="X64" s="137"/>
      <c r="AE64" s="137"/>
      <c r="AI64" s="133"/>
    </row>
    <row r="65" spans="10:35" ht="22.5" customHeight="1" x14ac:dyDescent="0.15">
      <c r="J65" s="133" t="s">
        <v>237</v>
      </c>
      <c r="K65" s="266">
        <v>7700</v>
      </c>
      <c r="L65" s="566"/>
      <c r="M65" s="265"/>
      <c r="O65" s="137" t="s">
        <v>853</v>
      </c>
      <c r="P65" s="137" t="s">
        <v>962</v>
      </c>
      <c r="Q65" s="137" t="s">
        <v>968</v>
      </c>
      <c r="R65" s="137" t="s">
        <v>984</v>
      </c>
      <c r="Y65" s="132"/>
      <c r="Z65" s="132"/>
      <c r="AG65" s="132"/>
      <c r="AH65" s="132"/>
      <c r="AI65" s="133"/>
    </row>
    <row r="66" spans="10:35" ht="22.5" customHeight="1" x14ac:dyDescent="0.15">
      <c r="J66" s="133" t="s">
        <v>198</v>
      </c>
      <c r="K66" s="265">
        <v>44000</v>
      </c>
      <c r="L66" s="566"/>
      <c r="M66" s="265"/>
      <c r="O66" s="137" t="s">
        <v>854</v>
      </c>
      <c r="P66" s="137" t="s">
        <v>962</v>
      </c>
      <c r="Q66" s="137" t="s">
        <v>981</v>
      </c>
      <c r="R66" s="137" t="s">
        <v>985</v>
      </c>
      <c r="AG66" s="132"/>
      <c r="AH66" s="132"/>
      <c r="AI66" s="133"/>
    </row>
    <row r="67" spans="10:35" ht="22.5" customHeight="1" x14ac:dyDescent="0.15">
      <c r="J67" s="133" t="s">
        <v>199</v>
      </c>
      <c r="K67" s="265">
        <v>33000</v>
      </c>
      <c r="L67" s="566"/>
      <c r="M67" s="265"/>
      <c r="O67" s="137" t="s">
        <v>855</v>
      </c>
      <c r="P67" s="137" t="s">
        <v>962</v>
      </c>
      <c r="Q67" s="137" t="s">
        <v>981</v>
      </c>
      <c r="R67" s="137" t="s">
        <v>985</v>
      </c>
      <c r="AG67" s="132"/>
      <c r="AH67" s="132"/>
      <c r="AI67" s="133"/>
    </row>
    <row r="68" spans="10:35" ht="22.5" customHeight="1" x14ac:dyDescent="0.15">
      <c r="J68" s="133" t="s">
        <v>200</v>
      </c>
      <c r="K68" s="265">
        <v>33000</v>
      </c>
      <c r="L68" s="566"/>
      <c r="M68" s="265"/>
      <c r="O68" s="137" t="s">
        <v>856</v>
      </c>
      <c r="P68" s="137" t="s">
        <v>962</v>
      </c>
      <c r="Q68" s="137" t="s">
        <v>968</v>
      </c>
      <c r="R68" s="137" t="s">
        <v>984</v>
      </c>
      <c r="AI68" s="133"/>
    </row>
    <row r="69" spans="10:35" ht="22.5" customHeight="1" x14ac:dyDescent="0.15">
      <c r="J69" s="133" t="s">
        <v>201</v>
      </c>
      <c r="K69" s="265">
        <v>33000</v>
      </c>
      <c r="L69" s="566"/>
      <c r="M69" s="265"/>
      <c r="O69" s="137" t="s">
        <v>879</v>
      </c>
      <c r="P69" s="137" t="s">
        <v>962</v>
      </c>
      <c r="Q69" s="137" t="s">
        <v>982</v>
      </c>
      <c r="R69" s="137" t="s">
        <v>1097</v>
      </c>
      <c r="AI69" s="133"/>
    </row>
    <row r="70" spans="10:35" ht="22.5" customHeight="1" x14ac:dyDescent="0.15">
      <c r="J70" s="137" t="s">
        <v>202</v>
      </c>
      <c r="K70" s="265">
        <v>16500</v>
      </c>
      <c r="L70" s="566"/>
      <c r="M70" s="265"/>
      <c r="O70" s="137" t="s">
        <v>857</v>
      </c>
      <c r="P70" s="137" t="s">
        <v>962</v>
      </c>
      <c r="Q70" s="137" t="s">
        <v>967</v>
      </c>
      <c r="R70" s="137" t="s">
        <v>986</v>
      </c>
      <c r="AI70" s="133"/>
    </row>
    <row r="71" spans="10:35" ht="22.5" customHeight="1" x14ac:dyDescent="0.15">
      <c r="J71" s="137" t="s">
        <v>203</v>
      </c>
      <c r="K71" s="265">
        <v>44000</v>
      </c>
      <c r="L71" s="566"/>
      <c r="M71" s="265"/>
      <c r="O71" s="137" t="s">
        <v>858</v>
      </c>
      <c r="P71" s="137" t="s">
        <v>962</v>
      </c>
      <c r="Q71" s="137" t="s">
        <v>967</v>
      </c>
      <c r="R71" s="137" t="s">
        <v>986</v>
      </c>
      <c r="AI71" s="133"/>
    </row>
    <row r="72" spans="10:35" ht="22.5" customHeight="1" x14ac:dyDescent="0.15">
      <c r="J72" s="137" t="s">
        <v>204</v>
      </c>
      <c r="K72" s="265">
        <v>33000</v>
      </c>
      <c r="L72" s="566"/>
      <c r="M72" s="265"/>
      <c r="O72" s="137" t="s">
        <v>859</v>
      </c>
      <c r="P72" s="137" t="s">
        <v>962</v>
      </c>
      <c r="Q72" s="137" t="s">
        <v>967</v>
      </c>
      <c r="R72" s="137" t="s">
        <v>986</v>
      </c>
      <c r="AI72" s="133"/>
    </row>
    <row r="73" spans="10:35" ht="22.5" customHeight="1" x14ac:dyDescent="0.15">
      <c r="J73" s="137" t="s">
        <v>205</v>
      </c>
      <c r="K73" s="265">
        <v>44000</v>
      </c>
      <c r="O73" s="137" t="s">
        <v>860</v>
      </c>
      <c r="P73" s="137" t="s">
        <v>962</v>
      </c>
      <c r="Q73" s="137" t="s">
        <v>967</v>
      </c>
      <c r="R73" s="137" t="s">
        <v>986</v>
      </c>
      <c r="AI73" s="133"/>
    </row>
    <row r="74" spans="10:35" ht="22.5" customHeight="1" x14ac:dyDescent="0.15">
      <c r="J74" s="137" t="s">
        <v>206</v>
      </c>
      <c r="K74" s="265">
        <v>33000</v>
      </c>
      <c r="O74" s="137" t="s">
        <v>878</v>
      </c>
      <c r="P74" s="137" t="s">
        <v>962</v>
      </c>
      <c r="Q74" s="137" t="s">
        <v>980</v>
      </c>
      <c r="R74" s="137" t="s">
        <v>985</v>
      </c>
      <c r="AI74" s="133"/>
    </row>
    <row r="75" spans="10:35" ht="22.5" customHeight="1" x14ac:dyDescent="0.15">
      <c r="J75" s="137" t="s">
        <v>207</v>
      </c>
      <c r="K75" s="265">
        <v>33000</v>
      </c>
      <c r="O75" s="137" t="s">
        <v>861</v>
      </c>
      <c r="P75" s="137" t="s">
        <v>962</v>
      </c>
      <c r="AI75" s="133"/>
    </row>
    <row r="76" spans="10:35" ht="22.5" customHeight="1" x14ac:dyDescent="0.15">
      <c r="J76" s="137" t="s">
        <v>208</v>
      </c>
      <c r="K76" s="266">
        <v>16500</v>
      </c>
      <c r="AI76" s="133"/>
    </row>
    <row r="77" spans="10:35" ht="22.5" customHeight="1" x14ac:dyDescent="0.15">
      <c r="J77" s="137" t="s">
        <v>417</v>
      </c>
      <c r="K77" s="266">
        <v>0</v>
      </c>
      <c r="AI77" s="133"/>
    </row>
    <row r="78" spans="10:35" ht="22.5" customHeight="1" x14ac:dyDescent="0.15">
      <c r="J78" s="33" t="s">
        <v>357</v>
      </c>
      <c r="K78" s="266">
        <v>7700</v>
      </c>
      <c r="AI78" s="133"/>
    </row>
    <row r="79" spans="10:35" ht="22.5" customHeight="1" x14ac:dyDescent="0.15">
      <c r="J79" s="33" t="s">
        <v>358</v>
      </c>
      <c r="K79" s="266">
        <v>7700</v>
      </c>
      <c r="AI79" s="133"/>
    </row>
    <row r="80" spans="10:35" ht="22.5" customHeight="1" x14ac:dyDescent="0.15">
      <c r="J80" s="33" t="s">
        <v>359</v>
      </c>
      <c r="K80" s="266">
        <v>7700</v>
      </c>
      <c r="AI80" s="133"/>
    </row>
    <row r="81" spans="10:35" ht="22.5" customHeight="1" x14ac:dyDescent="0.15">
      <c r="J81" s="33" t="s">
        <v>360</v>
      </c>
      <c r="K81" s="266">
        <v>7700</v>
      </c>
      <c r="AI81" s="133"/>
    </row>
    <row r="82" spans="10:35" ht="22.5" customHeight="1" x14ac:dyDescent="0.15">
      <c r="J82" s="33" t="s">
        <v>361</v>
      </c>
      <c r="K82" s="266">
        <v>7700</v>
      </c>
      <c r="AI82" s="133"/>
    </row>
    <row r="83" spans="10:35" ht="22.5" customHeight="1" x14ac:dyDescent="0.15">
      <c r="J83" s="33" t="s">
        <v>362</v>
      </c>
      <c r="K83" s="266">
        <v>7700</v>
      </c>
      <c r="N83" s="263"/>
      <c r="AI83" s="133"/>
    </row>
    <row r="84" spans="10:35" ht="22.5" customHeight="1" x14ac:dyDescent="0.15">
      <c r="J84" s="33" t="s">
        <v>265</v>
      </c>
      <c r="K84" s="266">
        <v>7700</v>
      </c>
      <c r="AI84" s="133"/>
    </row>
    <row r="85" spans="10:35" ht="22.5" customHeight="1" x14ac:dyDescent="0.15">
      <c r="J85" s="33" t="s">
        <v>363</v>
      </c>
      <c r="K85" s="266">
        <v>7700</v>
      </c>
      <c r="AI85" s="133"/>
    </row>
    <row r="86" spans="10:35" ht="22.5" customHeight="1" x14ac:dyDescent="0.15">
      <c r="J86" s="33" t="s">
        <v>364</v>
      </c>
      <c r="K86" s="266">
        <v>7700</v>
      </c>
      <c r="AI86" s="133"/>
    </row>
    <row r="87" spans="10:35" ht="22.5" customHeight="1" x14ac:dyDescent="0.15">
      <c r="J87" s="33" t="s">
        <v>365</v>
      </c>
      <c r="K87" s="266">
        <v>7700</v>
      </c>
      <c r="AI87" s="133"/>
    </row>
    <row r="88" spans="10:35" ht="22.5" customHeight="1" x14ac:dyDescent="0.15">
      <c r="J88" s="137" t="s">
        <v>263</v>
      </c>
      <c r="K88" s="266">
        <v>0</v>
      </c>
      <c r="AI88" s="133"/>
    </row>
    <row r="89" spans="10:35" ht="22.5" customHeight="1" x14ac:dyDescent="0.15">
      <c r="J89" s="137" t="s">
        <v>264</v>
      </c>
      <c r="K89" s="266">
        <v>7700</v>
      </c>
      <c r="AI89" s="133"/>
    </row>
    <row r="90" spans="10:35" ht="22.5" customHeight="1" x14ac:dyDescent="0.15">
      <c r="J90" s="137" t="s">
        <v>281</v>
      </c>
      <c r="K90" s="266">
        <v>0</v>
      </c>
      <c r="AI90" s="133"/>
    </row>
    <row r="91" spans="10:35" ht="22.5" customHeight="1" x14ac:dyDescent="0.15">
      <c r="J91" s="137" t="s">
        <v>282</v>
      </c>
      <c r="K91" s="266">
        <v>0</v>
      </c>
      <c r="AI91" s="133"/>
    </row>
    <row r="92" spans="10:35" ht="22.5" customHeight="1" x14ac:dyDescent="0.15">
      <c r="J92" s="137" t="s">
        <v>283</v>
      </c>
      <c r="K92" s="266">
        <v>0</v>
      </c>
      <c r="AE92"/>
      <c r="AI92" s="133"/>
    </row>
    <row r="93" spans="10:35" ht="22.5" customHeight="1" x14ac:dyDescent="0.15">
      <c r="J93" s="137" t="s">
        <v>284</v>
      </c>
      <c r="K93" s="266">
        <v>0</v>
      </c>
      <c r="AI93" s="133"/>
    </row>
    <row r="94" spans="10:35" ht="22.5" customHeight="1" x14ac:dyDescent="0.15">
      <c r="J94" s="137" t="s">
        <v>285</v>
      </c>
      <c r="K94" s="266">
        <v>0</v>
      </c>
      <c r="AI94" s="133"/>
    </row>
    <row r="95" spans="10:35" ht="22.5" customHeight="1" x14ac:dyDescent="0.15">
      <c r="J95" s="137" t="s">
        <v>286</v>
      </c>
      <c r="K95" s="266">
        <v>0</v>
      </c>
      <c r="AI95" s="133"/>
    </row>
    <row r="96" spans="10:35" ht="22.5" customHeight="1" x14ac:dyDescent="0.15">
      <c r="J96" s="137" t="s">
        <v>287</v>
      </c>
      <c r="K96" s="266">
        <v>0</v>
      </c>
      <c r="AI96" s="133"/>
    </row>
    <row r="97" spans="10:35" ht="22.5" customHeight="1" x14ac:dyDescent="0.15">
      <c r="J97" s="137" t="s">
        <v>288</v>
      </c>
      <c r="K97" s="266">
        <v>0</v>
      </c>
      <c r="AI97" s="133"/>
    </row>
    <row r="98" spans="10:35" ht="22.5" customHeight="1" x14ac:dyDescent="0.15">
      <c r="J98" s="137" t="s">
        <v>289</v>
      </c>
      <c r="K98" s="266">
        <v>0</v>
      </c>
      <c r="AI98" s="133"/>
    </row>
    <row r="99" spans="10:35" ht="22.5" customHeight="1" x14ac:dyDescent="0.15">
      <c r="J99" s="137" t="s">
        <v>290</v>
      </c>
      <c r="K99" s="266">
        <v>0</v>
      </c>
      <c r="AI99" s="133"/>
    </row>
    <row r="100" spans="10:35" ht="22.5" customHeight="1" x14ac:dyDescent="0.15">
      <c r="J100" s="137" t="s">
        <v>291</v>
      </c>
      <c r="K100" s="266">
        <v>0</v>
      </c>
      <c r="AI100" s="133"/>
    </row>
    <row r="101" spans="10:35" ht="22.5" customHeight="1" x14ac:dyDescent="0.15">
      <c r="J101" s="137" t="s">
        <v>292</v>
      </c>
      <c r="K101" s="266">
        <v>0</v>
      </c>
      <c r="AI101" s="133"/>
    </row>
    <row r="102" spans="10:35" ht="22.5" customHeight="1" x14ac:dyDescent="0.15">
      <c r="J102" s="137" t="s">
        <v>293</v>
      </c>
      <c r="K102" s="266">
        <v>0</v>
      </c>
      <c r="AI102" s="133"/>
    </row>
    <row r="103" spans="10:35" ht="22.5" customHeight="1" x14ac:dyDescent="0.15">
      <c r="J103" s="137" t="s">
        <v>266</v>
      </c>
      <c r="K103" s="266">
        <v>0</v>
      </c>
      <c r="AI103" s="133"/>
    </row>
    <row r="104" spans="10:35" ht="22.5" customHeight="1" x14ac:dyDescent="0.15">
      <c r="J104" s="137" t="s">
        <v>366</v>
      </c>
      <c r="K104" s="266">
        <v>7700</v>
      </c>
      <c r="AI104" s="133"/>
    </row>
    <row r="105" spans="10:35" ht="22.5" customHeight="1" x14ac:dyDescent="0.15">
      <c r="J105" s="137" t="s">
        <v>367</v>
      </c>
      <c r="K105" s="266">
        <v>7700</v>
      </c>
      <c r="AI105" s="133"/>
    </row>
    <row r="106" spans="10:35" ht="22.5" customHeight="1" x14ac:dyDescent="0.15">
      <c r="J106" s="137" t="s">
        <v>267</v>
      </c>
      <c r="K106" s="266">
        <v>7700</v>
      </c>
      <c r="AI106" s="133"/>
    </row>
    <row r="107" spans="10:35" ht="22.5" customHeight="1" x14ac:dyDescent="0.15">
      <c r="J107" s="137" t="s">
        <v>368</v>
      </c>
      <c r="K107" s="266">
        <v>7700</v>
      </c>
      <c r="AI107" s="133"/>
    </row>
    <row r="108" spans="10:35" ht="22.5" customHeight="1" x14ac:dyDescent="0.15">
      <c r="J108" s="137" t="s">
        <v>369</v>
      </c>
      <c r="K108" s="266">
        <v>7700</v>
      </c>
      <c r="AI108" s="133"/>
    </row>
    <row r="109" spans="10:35" ht="22.5" customHeight="1" x14ac:dyDescent="0.15">
      <c r="J109" s="137" t="s">
        <v>268</v>
      </c>
      <c r="K109" s="266">
        <v>7700</v>
      </c>
      <c r="AI109" s="133"/>
    </row>
    <row r="110" spans="10:35" ht="22.5" customHeight="1" x14ac:dyDescent="0.15">
      <c r="J110" s="137" t="s">
        <v>370</v>
      </c>
      <c r="K110" s="266">
        <v>7700</v>
      </c>
      <c r="AI110" s="133"/>
    </row>
    <row r="111" spans="10:35" ht="22.5" customHeight="1" x14ac:dyDescent="0.15">
      <c r="J111" s="137" t="s">
        <v>371</v>
      </c>
      <c r="K111" s="266">
        <v>7700</v>
      </c>
      <c r="AI111" s="133"/>
    </row>
    <row r="112" spans="10:35" ht="22.5" customHeight="1" x14ac:dyDescent="0.15">
      <c r="J112" s="137" t="s">
        <v>372</v>
      </c>
      <c r="K112" s="266">
        <v>7700</v>
      </c>
      <c r="AI112" s="133"/>
    </row>
    <row r="113" spans="2:35" ht="22.5" customHeight="1" x14ac:dyDescent="0.15">
      <c r="J113" s="137" t="s">
        <v>373</v>
      </c>
      <c r="K113" s="266">
        <v>7700</v>
      </c>
      <c r="AI113" s="133"/>
    </row>
    <row r="114" spans="2:35" ht="22.5" customHeight="1" x14ac:dyDescent="0.15">
      <c r="J114" s="137" t="s">
        <v>269</v>
      </c>
      <c r="K114" s="266">
        <v>7700</v>
      </c>
      <c r="AI114" s="133"/>
    </row>
    <row r="115" spans="2:35" ht="22.5" customHeight="1" x14ac:dyDescent="0.15">
      <c r="J115" s="137" t="s">
        <v>213</v>
      </c>
      <c r="K115" s="266">
        <v>16500</v>
      </c>
      <c r="AI115" s="133"/>
    </row>
    <row r="116" spans="2:35" ht="22.5" customHeight="1" x14ac:dyDescent="0.15">
      <c r="J116" s="137" t="s">
        <v>271</v>
      </c>
      <c r="K116" s="266">
        <v>44000</v>
      </c>
      <c r="AI116" s="133"/>
    </row>
    <row r="117" spans="2:35" ht="22.5" customHeight="1" x14ac:dyDescent="0.15">
      <c r="J117" s="137" t="s">
        <v>332</v>
      </c>
      <c r="K117" s="266">
        <v>55000</v>
      </c>
      <c r="AI117" s="133"/>
    </row>
    <row r="118" spans="2:35" ht="22.5" customHeight="1" x14ac:dyDescent="0.15">
      <c r="J118" s="137" t="s">
        <v>412</v>
      </c>
      <c r="K118" s="266">
        <v>44000</v>
      </c>
      <c r="AI118" s="133"/>
    </row>
    <row r="119" spans="2:35" ht="22.5" customHeight="1" x14ac:dyDescent="0.15">
      <c r="J119" s="137" t="s">
        <v>334</v>
      </c>
      <c r="K119" s="266">
        <v>44000</v>
      </c>
      <c r="AI119" s="133"/>
    </row>
    <row r="120" spans="2:35" ht="22.5" customHeight="1" x14ac:dyDescent="0.15">
      <c r="J120" s="137" t="s">
        <v>333</v>
      </c>
      <c r="K120" s="266">
        <v>44000</v>
      </c>
      <c r="AI120" s="133"/>
    </row>
    <row r="121" spans="2:35" ht="22.5" customHeight="1" x14ac:dyDescent="0.15">
      <c r="J121" s="137" t="s">
        <v>270</v>
      </c>
      <c r="K121" s="266">
        <v>33000</v>
      </c>
      <c r="AI121" s="133"/>
    </row>
    <row r="122" spans="2:35" ht="22.5" customHeight="1" x14ac:dyDescent="0.15">
      <c r="J122" s="137" t="s">
        <v>326</v>
      </c>
      <c r="K122" s="266">
        <v>55000</v>
      </c>
      <c r="AI122" s="133"/>
    </row>
    <row r="123" spans="2:35" ht="22.5" customHeight="1" x14ac:dyDescent="0.15">
      <c r="J123" s="137" t="s">
        <v>327</v>
      </c>
      <c r="K123" s="266">
        <v>44000</v>
      </c>
      <c r="AI123" s="133"/>
    </row>
    <row r="124" spans="2:35" ht="22.5" customHeight="1" x14ac:dyDescent="0.15">
      <c r="B124" s="263"/>
      <c r="J124" s="137" t="s">
        <v>407</v>
      </c>
      <c r="K124" s="266">
        <v>44000</v>
      </c>
      <c r="U124" s="263"/>
      <c r="AA124" s="263"/>
      <c r="AB124" s="263"/>
      <c r="AC124" s="263"/>
      <c r="AF124" s="263"/>
      <c r="AI124" s="133"/>
    </row>
    <row r="125" spans="2:35" ht="22.5" customHeight="1" x14ac:dyDescent="0.15">
      <c r="B125" s="263"/>
      <c r="J125" s="137" t="s">
        <v>408</v>
      </c>
      <c r="K125" s="266">
        <v>44000</v>
      </c>
      <c r="U125" s="263"/>
      <c r="Y125" s="263"/>
      <c r="Z125" s="263"/>
      <c r="AA125" s="263"/>
      <c r="AB125" s="263"/>
      <c r="AC125" s="263"/>
      <c r="AF125" s="263"/>
      <c r="AI125" s="133"/>
    </row>
    <row r="126" spans="2:35" ht="22.5" customHeight="1" x14ac:dyDescent="0.15">
      <c r="J126" s="137" t="s">
        <v>409</v>
      </c>
      <c r="K126" s="266">
        <v>44000</v>
      </c>
      <c r="Y126" s="263"/>
      <c r="Z126" s="263"/>
      <c r="AI126" s="133"/>
    </row>
    <row r="127" spans="2:35" ht="22.5" customHeight="1" x14ac:dyDescent="0.15">
      <c r="J127" s="137" t="s">
        <v>410</v>
      </c>
      <c r="K127" s="266">
        <v>44000</v>
      </c>
      <c r="AG127" s="263"/>
      <c r="AH127" s="263"/>
      <c r="AI127" s="133"/>
    </row>
    <row r="128" spans="2:35" ht="22.5" customHeight="1" x14ac:dyDescent="0.15">
      <c r="J128" s="137" t="s">
        <v>411</v>
      </c>
      <c r="K128" s="266">
        <v>44000</v>
      </c>
      <c r="AG128" s="263"/>
      <c r="AH128" s="263"/>
      <c r="AI128" s="133"/>
    </row>
    <row r="129" spans="10:35" ht="22.5" customHeight="1" x14ac:dyDescent="0.15">
      <c r="J129" s="137" t="s">
        <v>328</v>
      </c>
      <c r="K129" s="266">
        <v>44000</v>
      </c>
      <c r="AI129" s="133"/>
    </row>
    <row r="130" spans="10:35" ht="22.5" customHeight="1" x14ac:dyDescent="0.15">
      <c r="J130" s="137" t="s">
        <v>330</v>
      </c>
      <c r="K130" s="266">
        <v>44000</v>
      </c>
      <c r="O130" s="263"/>
      <c r="P130" s="263"/>
      <c r="Q130" s="263"/>
      <c r="R130" s="263"/>
      <c r="S130" s="263"/>
      <c r="V130" s="263"/>
      <c r="W130" s="263"/>
      <c r="X130" s="263"/>
      <c r="AE130" s="263"/>
      <c r="AI130" s="133"/>
    </row>
    <row r="131" spans="10:35" ht="22.5" customHeight="1" x14ac:dyDescent="0.15">
      <c r="J131" s="137" t="s">
        <v>329</v>
      </c>
      <c r="K131" s="266">
        <v>44000</v>
      </c>
      <c r="O131" s="263"/>
      <c r="P131" s="263"/>
      <c r="Q131" s="263"/>
      <c r="R131" s="263"/>
      <c r="S131" s="263"/>
      <c r="V131" s="263"/>
      <c r="W131" s="263"/>
      <c r="X131" s="263"/>
      <c r="AE131" s="263"/>
      <c r="AI131" s="133"/>
    </row>
    <row r="132" spans="10:35" ht="22.5" customHeight="1" x14ac:dyDescent="0.15">
      <c r="J132" s="137" t="s">
        <v>331</v>
      </c>
      <c r="K132" s="266">
        <v>44000</v>
      </c>
      <c r="AI132" s="133"/>
    </row>
    <row r="133" spans="10:35" ht="22.5" customHeight="1" x14ac:dyDescent="0.15">
      <c r="J133" s="137" t="s">
        <v>323</v>
      </c>
      <c r="K133" s="266">
        <v>44000</v>
      </c>
      <c r="AI133" s="133"/>
    </row>
    <row r="134" spans="10:35" ht="22.5" customHeight="1" x14ac:dyDescent="0.15">
      <c r="J134" s="137" t="s">
        <v>324</v>
      </c>
      <c r="K134" s="266">
        <v>33000</v>
      </c>
      <c r="AI134" s="133"/>
    </row>
    <row r="135" spans="10:35" ht="22.5" customHeight="1" x14ac:dyDescent="0.15">
      <c r="J135" s="137" t="s">
        <v>402</v>
      </c>
      <c r="K135" s="266">
        <v>33000</v>
      </c>
      <c r="AI135" s="133"/>
    </row>
    <row r="136" spans="10:35" ht="22.5" customHeight="1" x14ac:dyDescent="0.15">
      <c r="J136" s="137" t="s">
        <v>403</v>
      </c>
      <c r="K136" s="266">
        <v>33000</v>
      </c>
      <c r="AI136" s="133"/>
    </row>
    <row r="137" spans="10:35" ht="22.5" customHeight="1" x14ac:dyDescent="0.15">
      <c r="J137" s="137" t="s">
        <v>404</v>
      </c>
      <c r="K137" s="266">
        <v>33000</v>
      </c>
      <c r="AI137" s="133"/>
    </row>
    <row r="138" spans="10:35" ht="22.5" customHeight="1" x14ac:dyDescent="0.15">
      <c r="J138" s="137" t="s">
        <v>405</v>
      </c>
      <c r="K138" s="266">
        <v>33000</v>
      </c>
      <c r="AI138" s="133"/>
    </row>
    <row r="139" spans="10:35" ht="22.5" customHeight="1" x14ac:dyDescent="0.15">
      <c r="J139" s="137" t="s">
        <v>406</v>
      </c>
      <c r="K139" s="266">
        <v>33000</v>
      </c>
      <c r="AI139" s="133"/>
    </row>
    <row r="140" spans="10:35" ht="22.5" customHeight="1" x14ac:dyDescent="0.15">
      <c r="J140" s="137" t="s">
        <v>325</v>
      </c>
      <c r="K140" s="266">
        <v>33000</v>
      </c>
      <c r="AI140" s="133"/>
    </row>
    <row r="141" spans="10:35" ht="22.5" customHeight="1" x14ac:dyDescent="0.15">
      <c r="J141" s="137" t="s">
        <v>413</v>
      </c>
      <c r="K141" s="266">
        <v>44000</v>
      </c>
      <c r="AI141" s="133"/>
    </row>
    <row r="142" spans="10:35" ht="22.5" customHeight="1" x14ac:dyDescent="0.15">
      <c r="J142" s="137" t="s">
        <v>414</v>
      </c>
      <c r="K142" s="266">
        <v>44000</v>
      </c>
      <c r="AI142" s="133"/>
    </row>
    <row r="143" spans="10:35" ht="22.5" customHeight="1" x14ac:dyDescent="0.15">
      <c r="J143" s="137" t="s">
        <v>221</v>
      </c>
      <c r="K143" s="266">
        <v>44000</v>
      </c>
      <c r="AI143" s="133"/>
    </row>
    <row r="144" spans="10:35" ht="22.5" customHeight="1" x14ac:dyDescent="0.15">
      <c r="J144" s="137" t="s">
        <v>222</v>
      </c>
      <c r="K144" s="266">
        <v>44000</v>
      </c>
      <c r="AI144" s="133"/>
    </row>
    <row r="145" spans="10:35" ht="22.5" customHeight="1" x14ac:dyDescent="0.15">
      <c r="J145" s="137" t="s">
        <v>273</v>
      </c>
      <c r="K145" s="266">
        <v>0</v>
      </c>
      <c r="AI145" s="133"/>
    </row>
    <row r="146" spans="10:35" ht="22.5" customHeight="1" x14ac:dyDescent="0.15">
      <c r="J146" s="137" t="s">
        <v>374</v>
      </c>
      <c r="K146" s="266">
        <v>7700</v>
      </c>
      <c r="AI146" s="133"/>
    </row>
    <row r="147" spans="10:35" ht="22.5" customHeight="1" x14ac:dyDescent="0.15">
      <c r="J147" s="137" t="s">
        <v>375</v>
      </c>
      <c r="K147" s="266">
        <v>7700</v>
      </c>
      <c r="AI147" s="133"/>
    </row>
    <row r="148" spans="10:35" ht="22.5" customHeight="1" x14ac:dyDescent="0.15">
      <c r="J148" s="137" t="s">
        <v>376</v>
      </c>
      <c r="K148" s="266">
        <v>7700</v>
      </c>
      <c r="AI148" s="133"/>
    </row>
    <row r="149" spans="10:35" ht="22.5" customHeight="1" x14ac:dyDescent="0.15">
      <c r="J149" s="137" t="s">
        <v>377</v>
      </c>
      <c r="K149" s="266">
        <v>7700</v>
      </c>
      <c r="AI149" s="133"/>
    </row>
    <row r="150" spans="10:35" ht="22.5" customHeight="1" x14ac:dyDescent="0.15">
      <c r="J150" s="137" t="s">
        <v>378</v>
      </c>
      <c r="K150" s="266">
        <v>7700</v>
      </c>
      <c r="AI150" s="133"/>
    </row>
    <row r="151" spans="10:35" ht="22.5" customHeight="1" x14ac:dyDescent="0.15">
      <c r="J151" s="137" t="s">
        <v>280</v>
      </c>
      <c r="K151" s="266">
        <v>7700</v>
      </c>
      <c r="AI151" s="133"/>
    </row>
    <row r="152" spans="10:35" ht="22.5" customHeight="1" x14ac:dyDescent="0.15">
      <c r="J152" s="137" t="s">
        <v>379</v>
      </c>
      <c r="K152" s="266">
        <v>7700</v>
      </c>
      <c r="AI152" s="133"/>
    </row>
    <row r="153" spans="10:35" ht="22.5" customHeight="1" x14ac:dyDescent="0.15">
      <c r="J153" s="137" t="s">
        <v>380</v>
      </c>
      <c r="K153" s="266">
        <v>7700</v>
      </c>
      <c r="AI153" s="133"/>
    </row>
    <row r="154" spans="10:35" ht="22.5" customHeight="1" x14ac:dyDescent="0.15">
      <c r="J154" s="137" t="s">
        <v>381</v>
      </c>
      <c r="K154" s="266">
        <v>7700</v>
      </c>
      <c r="AI154" s="133"/>
    </row>
    <row r="155" spans="10:35" ht="22.5" customHeight="1" x14ac:dyDescent="0.15">
      <c r="J155" s="137" t="s">
        <v>382</v>
      </c>
      <c r="K155" s="266">
        <v>7700</v>
      </c>
      <c r="AI155" s="133"/>
    </row>
    <row r="156" spans="10:35" ht="22.5" customHeight="1" x14ac:dyDescent="0.15">
      <c r="J156" s="137" t="s">
        <v>274</v>
      </c>
      <c r="K156" s="266">
        <v>7700</v>
      </c>
      <c r="AI156" s="133"/>
    </row>
    <row r="157" spans="10:35" ht="22.5" customHeight="1" x14ac:dyDescent="0.15">
      <c r="J157" s="137" t="s">
        <v>383</v>
      </c>
      <c r="K157" s="266">
        <v>7700</v>
      </c>
      <c r="AI157" s="133"/>
    </row>
    <row r="158" spans="10:35" ht="22.5" customHeight="1" x14ac:dyDescent="0.15">
      <c r="J158" s="137" t="s">
        <v>384</v>
      </c>
      <c r="K158" s="266">
        <v>7700</v>
      </c>
      <c r="AI158" s="133"/>
    </row>
    <row r="159" spans="10:35" ht="22.5" customHeight="1" x14ac:dyDescent="0.15">
      <c r="J159" s="137" t="s">
        <v>385</v>
      </c>
      <c r="K159" s="266">
        <v>7700</v>
      </c>
      <c r="AI159" s="133"/>
    </row>
    <row r="160" spans="10:35" ht="22.5" customHeight="1" x14ac:dyDescent="0.15">
      <c r="J160" s="137" t="s">
        <v>386</v>
      </c>
      <c r="K160" s="266">
        <v>7700</v>
      </c>
      <c r="AI160" s="133"/>
    </row>
    <row r="161" spans="10:35" ht="22.5" customHeight="1" x14ac:dyDescent="0.15">
      <c r="J161" s="137" t="s">
        <v>275</v>
      </c>
      <c r="K161" s="266">
        <v>7700</v>
      </c>
      <c r="AI161" s="133"/>
    </row>
    <row r="162" spans="10:35" ht="22.5" customHeight="1" x14ac:dyDescent="0.15">
      <c r="J162" s="137" t="s">
        <v>276</v>
      </c>
      <c r="K162" s="266">
        <v>7700</v>
      </c>
      <c r="AI162" s="133"/>
    </row>
    <row r="163" spans="10:35" ht="22.5" customHeight="1" x14ac:dyDescent="0.15">
      <c r="J163" s="137" t="s">
        <v>277</v>
      </c>
      <c r="K163" s="266">
        <v>7700</v>
      </c>
      <c r="AI163" s="133"/>
    </row>
    <row r="164" spans="10:35" ht="22.5" customHeight="1" x14ac:dyDescent="0.15">
      <c r="J164" s="137" t="s">
        <v>278</v>
      </c>
      <c r="K164" s="266">
        <v>7700</v>
      </c>
      <c r="AI164" s="133"/>
    </row>
    <row r="165" spans="10:35" ht="22.5" customHeight="1" x14ac:dyDescent="0.15">
      <c r="J165" s="137" t="s">
        <v>279</v>
      </c>
      <c r="K165" s="266">
        <v>7700</v>
      </c>
      <c r="AI165" s="133"/>
    </row>
    <row r="166" spans="10:35" ht="22.5" customHeight="1" x14ac:dyDescent="0.15">
      <c r="J166" s="137" t="s">
        <v>418</v>
      </c>
      <c r="K166" s="266">
        <v>16500</v>
      </c>
      <c r="AI166" s="133"/>
    </row>
    <row r="167" spans="10:35" ht="22.5" customHeight="1" x14ac:dyDescent="0.15">
      <c r="J167" s="137" t="s">
        <v>419</v>
      </c>
      <c r="K167" s="266">
        <v>16500</v>
      </c>
      <c r="AI167" s="133"/>
    </row>
    <row r="168" spans="10:35" ht="22.5" customHeight="1" x14ac:dyDescent="0.15">
      <c r="J168" s="137" t="s">
        <v>420</v>
      </c>
      <c r="K168" s="266">
        <v>16500</v>
      </c>
      <c r="AI168" s="133"/>
    </row>
    <row r="169" spans="10:35" ht="22.5" customHeight="1" x14ac:dyDescent="0.15">
      <c r="J169" s="137" t="s">
        <v>421</v>
      </c>
      <c r="K169" s="266">
        <v>16500</v>
      </c>
      <c r="AI169" s="133"/>
    </row>
    <row r="170" spans="10:35" ht="22.5" customHeight="1" x14ac:dyDescent="0.15">
      <c r="J170" s="137" t="s">
        <v>422</v>
      </c>
      <c r="K170" s="266">
        <v>16500</v>
      </c>
      <c r="AI170" s="133"/>
    </row>
    <row r="171" spans="10:35" ht="22.5" customHeight="1" x14ac:dyDescent="0.15">
      <c r="J171" s="137" t="s">
        <v>423</v>
      </c>
      <c r="K171" s="266">
        <v>16500</v>
      </c>
      <c r="AI171" s="133"/>
    </row>
    <row r="172" spans="10:35" ht="22.5" customHeight="1" x14ac:dyDescent="0.15">
      <c r="J172" s="137" t="s">
        <v>294</v>
      </c>
      <c r="K172" s="266">
        <v>16500</v>
      </c>
      <c r="AI172" s="133"/>
    </row>
    <row r="173" spans="10:35" ht="22.5" customHeight="1" x14ac:dyDescent="0.15">
      <c r="J173" s="137" t="s">
        <v>387</v>
      </c>
      <c r="K173" s="266">
        <v>0</v>
      </c>
      <c r="AI173" s="133"/>
    </row>
    <row r="174" spans="10:35" ht="22.5" customHeight="1" x14ac:dyDescent="0.15">
      <c r="J174" s="137" t="s">
        <v>295</v>
      </c>
      <c r="K174" s="266">
        <v>0</v>
      </c>
      <c r="AI174" s="133"/>
    </row>
    <row r="175" spans="10:35" ht="22.5" customHeight="1" x14ac:dyDescent="0.15">
      <c r="J175" s="137" t="s">
        <v>296</v>
      </c>
      <c r="K175" s="266">
        <v>0</v>
      </c>
      <c r="AI175" s="133"/>
    </row>
    <row r="176" spans="10:35" ht="22.5" customHeight="1" x14ac:dyDescent="0.15">
      <c r="J176" s="137" t="s">
        <v>297</v>
      </c>
      <c r="K176" s="266">
        <v>7700</v>
      </c>
      <c r="AI176" s="133"/>
    </row>
    <row r="177" spans="10:35" ht="22.5" customHeight="1" x14ac:dyDescent="0.15">
      <c r="J177" s="137" t="s">
        <v>298</v>
      </c>
      <c r="K177" s="266">
        <v>7700</v>
      </c>
      <c r="AI177" s="133"/>
    </row>
    <row r="178" spans="10:35" ht="22.5" customHeight="1" x14ac:dyDescent="0.15">
      <c r="J178" s="137" t="s">
        <v>299</v>
      </c>
      <c r="K178" s="266">
        <v>7700</v>
      </c>
      <c r="AI178" s="133"/>
    </row>
    <row r="179" spans="10:35" ht="22.5" customHeight="1" x14ac:dyDescent="0.15">
      <c r="J179" s="137" t="s">
        <v>300</v>
      </c>
      <c r="K179" s="266">
        <v>7700</v>
      </c>
      <c r="AI179" s="133"/>
    </row>
    <row r="180" spans="10:35" ht="22.5" customHeight="1" x14ac:dyDescent="0.15">
      <c r="J180" s="137" t="s">
        <v>301</v>
      </c>
      <c r="K180" s="266">
        <v>7700</v>
      </c>
      <c r="AI180" s="133"/>
    </row>
    <row r="181" spans="10:35" ht="22.5" customHeight="1" x14ac:dyDescent="0.15">
      <c r="J181" s="137" t="s">
        <v>302</v>
      </c>
      <c r="K181" s="266">
        <v>7700</v>
      </c>
      <c r="AI181" s="133"/>
    </row>
    <row r="182" spans="10:35" ht="22.5" customHeight="1" x14ac:dyDescent="0.15">
      <c r="J182" s="137" t="s">
        <v>303</v>
      </c>
      <c r="K182" s="266">
        <v>7700</v>
      </c>
      <c r="AI182" s="133"/>
    </row>
    <row r="183" spans="10:35" ht="22.5" customHeight="1" x14ac:dyDescent="0.15">
      <c r="J183" s="137" t="s">
        <v>304</v>
      </c>
      <c r="K183" s="266">
        <v>7700</v>
      </c>
      <c r="AI183" s="133"/>
    </row>
    <row r="184" spans="10:35" ht="22.5" customHeight="1" x14ac:dyDescent="0.15">
      <c r="J184" s="137" t="s">
        <v>305</v>
      </c>
      <c r="K184" s="266">
        <v>44000</v>
      </c>
      <c r="AI184" s="133"/>
    </row>
    <row r="185" spans="10:35" ht="22.5" customHeight="1" x14ac:dyDescent="0.15">
      <c r="J185" s="137" t="s">
        <v>388</v>
      </c>
      <c r="K185" s="266">
        <v>33000</v>
      </c>
      <c r="AI185" s="133"/>
    </row>
    <row r="186" spans="10:35" ht="22.5" customHeight="1" x14ac:dyDescent="0.15">
      <c r="J186" s="137" t="s">
        <v>389</v>
      </c>
      <c r="K186" s="266">
        <v>33000</v>
      </c>
      <c r="AI186" s="133"/>
    </row>
    <row r="187" spans="10:35" ht="22.5" customHeight="1" x14ac:dyDescent="0.15">
      <c r="J187" s="137" t="s">
        <v>390</v>
      </c>
      <c r="K187" s="266">
        <v>33000</v>
      </c>
      <c r="AI187" s="133"/>
    </row>
    <row r="188" spans="10:35" ht="22.5" customHeight="1" x14ac:dyDescent="0.15">
      <c r="J188" s="137" t="s">
        <v>391</v>
      </c>
      <c r="K188" s="266">
        <v>33000</v>
      </c>
      <c r="AI188" s="133"/>
    </row>
    <row r="189" spans="10:35" ht="22.5" customHeight="1" x14ac:dyDescent="0.15">
      <c r="J189" s="137" t="s">
        <v>392</v>
      </c>
      <c r="K189" s="266">
        <v>33000</v>
      </c>
      <c r="AI189" s="133"/>
    </row>
    <row r="190" spans="10:35" ht="22.5" customHeight="1" x14ac:dyDescent="0.15">
      <c r="J190" s="137" t="s">
        <v>393</v>
      </c>
      <c r="K190" s="266">
        <v>33000</v>
      </c>
      <c r="AI190" s="133"/>
    </row>
    <row r="191" spans="10:35" ht="22.5" customHeight="1" x14ac:dyDescent="0.15">
      <c r="J191" s="137" t="s">
        <v>394</v>
      </c>
      <c r="K191" s="266">
        <v>33000</v>
      </c>
      <c r="AI191" s="133"/>
    </row>
    <row r="192" spans="10:35" ht="22.5" customHeight="1" x14ac:dyDescent="0.15">
      <c r="J192" s="137" t="s">
        <v>306</v>
      </c>
      <c r="K192" s="266">
        <v>33000</v>
      </c>
      <c r="AI192" s="133"/>
    </row>
    <row r="193" spans="10:35" ht="22.5" customHeight="1" x14ac:dyDescent="0.15">
      <c r="J193" s="137" t="s">
        <v>307</v>
      </c>
      <c r="K193" s="266">
        <v>33000</v>
      </c>
      <c r="AI193" s="133"/>
    </row>
    <row r="194" spans="10:35" ht="22.5" customHeight="1" x14ac:dyDescent="0.15">
      <c r="J194" s="137" t="s">
        <v>424</v>
      </c>
      <c r="K194" s="266">
        <v>33000</v>
      </c>
      <c r="AI194" s="133"/>
    </row>
    <row r="195" spans="10:35" ht="22.5" customHeight="1" x14ac:dyDescent="0.15">
      <c r="J195" s="137" t="s">
        <v>425</v>
      </c>
      <c r="K195" s="266">
        <v>33000</v>
      </c>
      <c r="AI195" s="133"/>
    </row>
    <row r="196" spans="10:35" ht="22.5" customHeight="1" x14ac:dyDescent="0.15">
      <c r="J196" s="137" t="s">
        <v>426</v>
      </c>
      <c r="K196" s="266">
        <v>33000</v>
      </c>
      <c r="AI196" s="133"/>
    </row>
    <row r="197" spans="10:35" ht="22.5" customHeight="1" x14ac:dyDescent="0.15">
      <c r="J197" s="137" t="s">
        <v>427</v>
      </c>
      <c r="K197" s="266">
        <v>33000</v>
      </c>
      <c r="AI197" s="133"/>
    </row>
    <row r="198" spans="10:35" ht="22.5" customHeight="1" x14ac:dyDescent="0.15">
      <c r="J198" s="137" t="s">
        <v>428</v>
      </c>
      <c r="K198" s="266">
        <v>44000</v>
      </c>
      <c r="AI198" s="133"/>
    </row>
    <row r="199" spans="10:35" ht="22.5" customHeight="1" x14ac:dyDescent="0.15">
      <c r="J199" s="137" t="s">
        <v>308</v>
      </c>
      <c r="K199" s="266">
        <v>33000</v>
      </c>
      <c r="AI199" s="133"/>
    </row>
    <row r="200" spans="10:35" ht="22.5" customHeight="1" x14ac:dyDescent="0.15">
      <c r="J200" s="137" t="s">
        <v>309</v>
      </c>
      <c r="K200" s="266">
        <v>33000</v>
      </c>
      <c r="AI200" s="133"/>
    </row>
    <row r="201" spans="10:35" ht="22.5" customHeight="1" x14ac:dyDescent="0.15">
      <c r="J201" s="137" t="s">
        <v>310</v>
      </c>
      <c r="K201" s="266">
        <v>33000</v>
      </c>
      <c r="AI201" s="133"/>
    </row>
    <row r="202" spans="10:35" ht="22.5" customHeight="1" x14ac:dyDescent="0.15">
      <c r="J202" s="137" t="s">
        <v>311</v>
      </c>
      <c r="K202" s="266">
        <v>33000</v>
      </c>
      <c r="AI202" s="133"/>
    </row>
    <row r="203" spans="10:35" ht="22.5" customHeight="1" x14ac:dyDescent="0.15">
      <c r="J203" s="137" t="s">
        <v>429</v>
      </c>
      <c r="K203" s="266">
        <v>44000</v>
      </c>
      <c r="AI203" s="133"/>
    </row>
    <row r="204" spans="10:35" ht="22.5" customHeight="1" x14ac:dyDescent="0.15">
      <c r="J204" s="137" t="s">
        <v>430</v>
      </c>
      <c r="K204" s="266">
        <v>44000</v>
      </c>
      <c r="AI204" s="133"/>
    </row>
    <row r="205" spans="10:35" ht="22.5" customHeight="1" x14ac:dyDescent="0.15">
      <c r="J205" s="137" t="s">
        <v>431</v>
      </c>
      <c r="K205" s="266">
        <v>44000</v>
      </c>
      <c r="AI205" s="133"/>
    </row>
    <row r="206" spans="10:35" ht="22.5" customHeight="1" x14ac:dyDescent="0.15">
      <c r="J206" s="137" t="s">
        <v>432</v>
      </c>
      <c r="K206" s="266">
        <v>44000</v>
      </c>
      <c r="AI206" s="133"/>
    </row>
    <row r="207" spans="10:35" ht="22.5" customHeight="1" x14ac:dyDescent="0.15">
      <c r="J207" s="137" t="s">
        <v>433</v>
      </c>
      <c r="K207" s="266">
        <v>44000</v>
      </c>
      <c r="AI207" s="133"/>
    </row>
    <row r="208" spans="10:35" ht="22.5" customHeight="1" x14ac:dyDescent="0.15">
      <c r="J208" s="137" t="s">
        <v>435</v>
      </c>
      <c r="K208" s="266">
        <v>44000</v>
      </c>
      <c r="AI208" s="133"/>
    </row>
    <row r="209" spans="10:13" ht="22.5" customHeight="1" x14ac:dyDescent="0.15">
      <c r="J209" s="137" t="s">
        <v>312</v>
      </c>
      <c r="K209" s="266">
        <v>55000</v>
      </c>
    </row>
    <row r="210" spans="10:13" ht="22.5" customHeight="1" x14ac:dyDescent="0.15">
      <c r="J210" s="137" t="s">
        <v>313</v>
      </c>
      <c r="K210" s="266">
        <v>44000</v>
      </c>
    </row>
    <row r="211" spans="10:13" ht="22.5" customHeight="1" x14ac:dyDescent="0.15">
      <c r="J211" s="137" t="s">
        <v>314</v>
      </c>
      <c r="K211" s="266">
        <v>44000</v>
      </c>
    </row>
    <row r="212" spans="10:13" ht="22.5" customHeight="1" x14ac:dyDescent="0.15">
      <c r="J212" s="137" t="s">
        <v>315</v>
      </c>
      <c r="K212" s="266">
        <v>44000</v>
      </c>
    </row>
    <row r="213" spans="10:13" ht="22.5" customHeight="1" x14ac:dyDescent="0.15">
      <c r="J213" s="137" t="s">
        <v>316</v>
      </c>
      <c r="K213" s="266">
        <v>44000</v>
      </c>
    </row>
    <row r="214" spans="10:13" ht="22.5" customHeight="1" x14ac:dyDescent="0.15">
      <c r="J214" s="137" t="s">
        <v>320</v>
      </c>
      <c r="K214" s="266">
        <v>44000</v>
      </c>
    </row>
    <row r="215" spans="10:13" ht="22.5" customHeight="1" x14ac:dyDescent="0.15">
      <c r="J215" s="137" t="s">
        <v>321</v>
      </c>
      <c r="K215" s="266">
        <v>44000</v>
      </c>
    </row>
    <row r="216" spans="10:13" ht="22.5" customHeight="1" x14ac:dyDescent="0.15">
      <c r="J216" s="137" t="s">
        <v>317</v>
      </c>
      <c r="K216" s="266">
        <v>55000</v>
      </c>
    </row>
    <row r="217" spans="10:13" ht="22.5" customHeight="1" x14ac:dyDescent="0.15">
      <c r="J217" s="137" t="s">
        <v>318</v>
      </c>
      <c r="K217" s="266">
        <v>44000</v>
      </c>
    </row>
    <row r="218" spans="10:13" ht="22.5" customHeight="1" x14ac:dyDescent="0.15">
      <c r="J218" s="137" t="s">
        <v>395</v>
      </c>
      <c r="K218" s="266">
        <v>44000</v>
      </c>
    </row>
    <row r="219" spans="10:13" ht="22.5" customHeight="1" x14ac:dyDescent="0.15">
      <c r="J219" s="137" t="s">
        <v>396</v>
      </c>
      <c r="K219" s="266">
        <v>44000</v>
      </c>
    </row>
    <row r="220" spans="10:13" ht="22.5" customHeight="1" x14ac:dyDescent="0.15">
      <c r="J220" s="137" t="s">
        <v>397</v>
      </c>
      <c r="K220" s="266">
        <v>44000</v>
      </c>
    </row>
    <row r="221" spans="10:13" ht="22.5" customHeight="1" x14ac:dyDescent="0.15">
      <c r="J221" s="137" t="s">
        <v>398</v>
      </c>
      <c r="K221" s="266">
        <v>44000</v>
      </c>
    </row>
    <row r="222" spans="10:13" ht="22.5" customHeight="1" x14ac:dyDescent="0.15">
      <c r="J222" s="137" t="s">
        <v>399</v>
      </c>
      <c r="K222" s="266">
        <v>44000</v>
      </c>
    </row>
    <row r="223" spans="10:13" ht="22.5" customHeight="1" x14ac:dyDescent="0.15">
      <c r="J223" s="137" t="s">
        <v>400</v>
      </c>
      <c r="K223" s="266">
        <v>44000</v>
      </c>
    </row>
    <row r="224" spans="10:13" ht="22.5" customHeight="1" x14ac:dyDescent="0.15">
      <c r="J224" s="137" t="s">
        <v>401</v>
      </c>
      <c r="K224" s="266">
        <v>44000</v>
      </c>
      <c r="L224" s="566"/>
      <c r="M224" s="265"/>
    </row>
    <row r="225" spans="10:11" ht="22.5" customHeight="1" x14ac:dyDescent="0.15">
      <c r="J225" s="137" t="s">
        <v>319</v>
      </c>
      <c r="K225" s="266">
        <v>44000</v>
      </c>
    </row>
    <row r="226" spans="10:11" ht="22.5" customHeight="1" x14ac:dyDescent="0.15">
      <c r="J226" s="137" t="s">
        <v>322</v>
      </c>
      <c r="K226" s="266">
        <v>44000</v>
      </c>
    </row>
    <row r="227" spans="10:11" ht="22.5" customHeight="1" x14ac:dyDescent="0.15">
      <c r="J227" s="137" t="s">
        <v>272</v>
      </c>
      <c r="K227" s="265" t="s">
        <v>415</v>
      </c>
    </row>
  </sheetData>
  <phoneticPr fontId="4"/>
  <dataValidations count="1">
    <dataValidation type="list" allowBlank="1" showInputMessage="1" sqref="E5:E6" xr:uid="{282C1CE1-3017-416C-96C4-D5C789102B41}">
      <formula1>"〒150-0002  東京都渋谷区渋谷1-13-9,〒104-0028  東京都中央区八重洲2-5-12,〒541-0047  大阪府大阪市中央区淡路町3-5-13"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7B53-13CD-490E-B304-7396020588FA}">
  <sheetPr>
    <tabColor theme="0" tint="-0.499984740745262"/>
  </sheetPr>
  <dimension ref="B1:AV31"/>
  <sheetViews>
    <sheetView topLeftCell="X1" workbookViewId="0">
      <selection activeCell="C18" sqref="C18:D18"/>
    </sheetView>
  </sheetViews>
  <sheetFormatPr defaultColWidth="6.625" defaultRowHeight="15" customHeight="1" x14ac:dyDescent="0.15"/>
  <cols>
    <col min="1" max="11" width="6.625" style="137"/>
    <col min="12" max="12" width="13.375" style="137" customWidth="1"/>
    <col min="13" max="13" width="9.625" style="137" customWidth="1"/>
    <col min="14" max="14" width="10.5" style="137" customWidth="1"/>
    <col min="15" max="15" width="9.5" style="137" customWidth="1"/>
    <col min="16" max="26" width="6.625" style="137"/>
    <col min="27" max="27" width="14.25" style="137" customWidth="1"/>
    <col min="28" max="28" width="6.625" style="137"/>
    <col min="29" max="29" width="12.125" style="137" customWidth="1"/>
    <col min="30" max="30" width="13.25" style="137" customWidth="1"/>
    <col min="31" max="31" width="12.25" style="137" customWidth="1"/>
    <col min="32" max="32" width="9.125" style="137" customWidth="1"/>
    <col min="33" max="34" width="6.625" style="137"/>
    <col min="35" max="36" width="11.25" style="137" customWidth="1"/>
    <col min="37" max="40" width="6.625" style="137"/>
    <col min="41" max="41" width="14.5" style="137" customWidth="1"/>
    <col min="42" max="43" width="11.25" style="137" customWidth="1"/>
    <col min="44" max="44" width="13.375" style="137" customWidth="1"/>
    <col min="45" max="45" width="11.25" style="137" customWidth="1"/>
    <col min="46" max="46" width="14.25" style="137" customWidth="1"/>
    <col min="47" max="47" width="13.875" style="137" customWidth="1"/>
    <col min="48" max="16384" width="6.625" style="137"/>
  </cols>
  <sheetData>
    <row r="1" spans="2:48" ht="15" customHeight="1" x14ac:dyDescent="0.15">
      <c r="B1" s="133" t="s">
        <v>184</v>
      </c>
      <c r="C1" s="133" t="s">
        <v>185</v>
      </c>
      <c r="D1" s="133" t="s">
        <v>186</v>
      </c>
      <c r="E1" s="133" t="s">
        <v>187</v>
      </c>
      <c r="F1" s="133" t="s">
        <v>188</v>
      </c>
      <c r="G1" s="133" t="s">
        <v>189</v>
      </c>
      <c r="H1" s="133" t="s">
        <v>190</v>
      </c>
      <c r="I1" s="133" t="s">
        <v>191</v>
      </c>
      <c r="J1" s="133" t="s">
        <v>192</v>
      </c>
      <c r="K1" s="133" t="s">
        <v>193</v>
      </c>
      <c r="L1" s="133" t="s">
        <v>194</v>
      </c>
      <c r="M1" s="133" t="s">
        <v>195</v>
      </c>
      <c r="N1" s="133" t="s">
        <v>196</v>
      </c>
      <c r="O1" s="133" t="s">
        <v>197</v>
      </c>
      <c r="P1" s="133" t="s">
        <v>198</v>
      </c>
      <c r="Q1" s="133" t="s">
        <v>199</v>
      </c>
      <c r="R1" s="133" t="s">
        <v>200</v>
      </c>
      <c r="S1" s="133" t="s">
        <v>201</v>
      </c>
      <c r="T1" s="133" t="s">
        <v>202</v>
      </c>
      <c r="U1" s="133" t="s">
        <v>203</v>
      </c>
      <c r="V1" s="133" t="s">
        <v>204</v>
      </c>
      <c r="W1" s="133" t="s">
        <v>205</v>
      </c>
      <c r="X1" s="133" t="s">
        <v>206</v>
      </c>
      <c r="Y1" s="133" t="s">
        <v>207</v>
      </c>
      <c r="Z1" s="133" t="s">
        <v>208</v>
      </c>
      <c r="AA1" s="133" t="s">
        <v>209</v>
      </c>
      <c r="AB1" s="133" t="s">
        <v>210</v>
      </c>
      <c r="AC1" s="133" t="s">
        <v>211</v>
      </c>
      <c r="AD1" s="133" t="s">
        <v>212</v>
      </c>
      <c r="AE1" s="133" t="s">
        <v>213</v>
      </c>
      <c r="AF1" s="133" t="s">
        <v>214</v>
      </c>
      <c r="AG1" s="133" t="s">
        <v>215</v>
      </c>
      <c r="AH1" s="133" t="s">
        <v>216</v>
      </c>
      <c r="AI1" s="133" t="s">
        <v>217</v>
      </c>
      <c r="AJ1" s="133" t="s">
        <v>218</v>
      </c>
      <c r="AK1" s="133" t="s">
        <v>219</v>
      </c>
      <c r="AL1" s="133" t="s">
        <v>220</v>
      </c>
      <c r="AM1" s="133" t="s">
        <v>221</v>
      </c>
      <c r="AN1" s="133" t="s">
        <v>222</v>
      </c>
      <c r="AO1" s="133" t="s">
        <v>223</v>
      </c>
      <c r="AP1" s="133" t="s">
        <v>224</v>
      </c>
      <c r="AQ1" s="133" t="s">
        <v>225</v>
      </c>
      <c r="AR1" s="133" t="s">
        <v>226</v>
      </c>
      <c r="AS1" s="133" t="s">
        <v>227</v>
      </c>
      <c r="AT1" s="133" t="s">
        <v>228</v>
      </c>
      <c r="AU1" s="133" t="s">
        <v>229</v>
      </c>
      <c r="AV1" s="133" t="s">
        <v>230</v>
      </c>
    </row>
    <row r="2" spans="2:48" ht="15" customHeight="1" x14ac:dyDescent="0.15">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row>
    <row r="3" spans="2:48" ht="15" customHeight="1" x14ac:dyDescent="0.15">
      <c r="B3" s="137" t="s">
        <v>925</v>
      </c>
      <c r="L3" s="137" t="s">
        <v>595</v>
      </c>
      <c r="M3" s="137" t="s">
        <v>436</v>
      </c>
      <c r="N3" s="137" t="s">
        <v>461</v>
      </c>
      <c r="O3" s="137" t="s">
        <v>463</v>
      </c>
      <c r="AA3" s="137" t="s">
        <v>585</v>
      </c>
      <c r="AC3" s="137" t="s">
        <v>572</v>
      </c>
      <c r="AD3" s="137" t="s">
        <v>561</v>
      </c>
      <c r="AF3" s="137" t="s">
        <v>558</v>
      </c>
      <c r="AI3" s="137" t="s">
        <v>548</v>
      </c>
      <c r="AJ3" s="137" t="s">
        <v>541</v>
      </c>
      <c r="AO3" s="137" t="s">
        <v>468</v>
      </c>
      <c r="AP3" s="137" t="s">
        <v>494</v>
      </c>
      <c r="AQ3" s="137" t="s">
        <v>505</v>
      </c>
      <c r="AR3" s="137" t="s">
        <v>508</v>
      </c>
      <c r="AS3" s="137" t="s">
        <v>521</v>
      </c>
      <c r="AT3" s="137" t="s">
        <v>526</v>
      </c>
      <c r="AU3" s="137" t="s">
        <v>531</v>
      </c>
    </row>
    <row r="4" spans="2:48" ht="15" customHeight="1" x14ac:dyDescent="0.15">
      <c r="L4" s="137" t="s">
        <v>596</v>
      </c>
      <c r="M4" s="137" t="s">
        <v>437</v>
      </c>
      <c r="N4" s="137" t="s">
        <v>462</v>
      </c>
      <c r="O4" s="137" t="s">
        <v>464</v>
      </c>
      <c r="AA4" s="137" t="s">
        <v>586</v>
      </c>
      <c r="AC4" s="137" t="s">
        <v>573</v>
      </c>
      <c r="AD4" s="137" t="s">
        <v>562</v>
      </c>
      <c r="AF4" s="137" t="s">
        <v>559</v>
      </c>
      <c r="AI4" s="137" t="s">
        <v>549</v>
      </c>
      <c r="AJ4" s="137" t="s">
        <v>542</v>
      </c>
      <c r="AO4" s="137" t="s">
        <v>469</v>
      </c>
      <c r="AP4" s="137" t="s">
        <v>495</v>
      </c>
      <c r="AQ4" s="137" t="s">
        <v>506</v>
      </c>
      <c r="AR4" s="137" t="s">
        <v>509</v>
      </c>
      <c r="AS4" s="137" t="s">
        <v>522</v>
      </c>
      <c r="AT4" s="137" t="s">
        <v>527</v>
      </c>
      <c r="AU4" s="137" t="s">
        <v>532</v>
      </c>
    </row>
    <row r="5" spans="2:48" ht="15" customHeight="1" x14ac:dyDescent="0.15">
      <c r="L5" s="137" t="s">
        <v>597</v>
      </c>
      <c r="M5" s="137" t="s">
        <v>438</v>
      </c>
      <c r="O5" s="137" t="s">
        <v>465</v>
      </c>
      <c r="AA5" s="137" t="s">
        <v>587</v>
      </c>
      <c r="AC5" s="137" t="s">
        <v>574</v>
      </c>
      <c r="AD5" s="137" t="s">
        <v>563</v>
      </c>
      <c r="AF5" s="137" t="s">
        <v>560</v>
      </c>
      <c r="AI5" s="137" t="s">
        <v>550</v>
      </c>
      <c r="AJ5" s="137" t="s">
        <v>543</v>
      </c>
      <c r="AO5" s="137" t="s">
        <v>470</v>
      </c>
      <c r="AP5" s="137" t="s">
        <v>496</v>
      </c>
      <c r="AQ5" s="137" t="s">
        <v>507</v>
      </c>
      <c r="AR5" s="137" t="s">
        <v>510</v>
      </c>
      <c r="AS5" s="137" t="s">
        <v>523</v>
      </c>
      <c r="AT5" s="137" t="s">
        <v>528</v>
      </c>
      <c r="AU5" s="137" t="s">
        <v>533</v>
      </c>
    </row>
    <row r="6" spans="2:48" ht="15" customHeight="1" x14ac:dyDescent="0.15">
      <c r="L6" s="137" t="s">
        <v>598</v>
      </c>
      <c r="M6" s="137" t="s">
        <v>439</v>
      </c>
      <c r="O6" s="137" t="s">
        <v>466</v>
      </c>
      <c r="AA6" s="137" t="s">
        <v>588</v>
      </c>
      <c r="AC6" s="137" t="s">
        <v>575</v>
      </c>
      <c r="AD6" s="137" t="s">
        <v>564</v>
      </c>
      <c r="AI6" s="137" t="s">
        <v>551</v>
      </c>
      <c r="AJ6" s="137" t="s">
        <v>544</v>
      </c>
      <c r="AO6" s="137" t="s">
        <v>471</v>
      </c>
      <c r="AP6" s="137" t="s">
        <v>497</v>
      </c>
      <c r="AR6" s="137" t="s">
        <v>511</v>
      </c>
      <c r="AS6" s="137" t="s">
        <v>524</v>
      </c>
      <c r="AT6" s="137" t="s">
        <v>529</v>
      </c>
      <c r="AU6" s="137" t="s">
        <v>534</v>
      </c>
    </row>
    <row r="7" spans="2:48" ht="15" customHeight="1" x14ac:dyDescent="0.15">
      <c r="L7" s="137" t="s">
        <v>599</v>
      </c>
      <c r="M7" s="137" t="s">
        <v>440</v>
      </c>
      <c r="O7" s="137" t="s">
        <v>467</v>
      </c>
      <c r="AA7" s="137" t="s">
        <v>589</v>
      </c>
      <c r="AC7" s="137" t="s">
        <v>576</v>
      </c>
      <c r="AD7" s="137" t="s">
        <v>565</v>
      </c>
      <c r="AI7" s="137" t="s">
        <v>552</v>
      </c>
      <c r="AJ7" s="137" t="s">
        <v>545</v>
      </c>
      <c r="AO7" s="137" t="s">
        <v>472</v>
      </c>
      <c r="AP7" s="137" t="s">
        <v>498</v>
      </c>
      <c r="AR7" s="137" t="s">
        <v>512</v>
      </c>
      <c r="AS7" s="137" t="s">
        <v>525</v>
      </c>
      <c r="AT7" s="137" t="s">
        <v>530</v>
      </c>
      <c r="AU7" s="137" t="s">
        <v>535</v>
      </c>
    </row>
    <row r="8" spans="2:48" ht="15" customHeight="1" x14ac:dyDescent="0.15">
      <c r="L8" s="137" t="s">
        <v>600</v>
      </c>
      <c r="M8" s="137" t="s">
        <v>441</v>
      </c>
      <c r="AA8" s="137" t="s">
        <v>590</v>
      </c>
      <c r="AC8" s="137" t="s">
        <v>577</v>
      </c>
      <c r="AD8" s="137" t="s">
        <v>566</v>
      </c>
      <c r="AI8" s="137" t="s">
        <v>553</v>
      </c>
      <c r="AJ8" s="137" t="s">
        <v>546</v>
      </c>
      <c r="AO8" s="137" t="s">
        <v>473</v>
      </c>
      <c r="AP8" s="137" t="s">
        <v>499</v>
      </c>
      <c r="AR8" s="137" t="s">
        <v>513</v>
      </c>
      <c r="AS8" s="137" t="s">
        <v>434</v>
      </c>
      <c r="AU8" s="137" t="s">
        <v>536</v>
      </c>
    </row>
    <row r="9" spans="2:48" ht="15" customHeight="1" x14ac:dyDescent="0.15">
      <c r="L9" s="137" t="s">
        <v>601</v>
      </c>
      <c r="M9" s="137" t="s">
        <v>442</v>
      </c>
      <c r="AA9" s="137" t="s">
        <v>591</v>
      </c>
      <c r="AC9" s="137" t="s">
        <v>578</v>
      </c>
      <c r="AD9" s="137" t="s">
        <v>567</v>
      </c>
      <c r="AI9" s="137" t="s">
        <v>554</v>
      </c>
      <c r="AJ9" s="137" t="s">
        <v>547</v>
      </c>
      <c r="AO9" s="137" t="s">
        <v>474</v>
      </c>
      <c r="AP9" s="137" t="s">
        <v>500</v>
      </c>
      <c r="AR9" s="137" t="s">
        <v>514</v>
      </c>
      <c r="AU9" s="137" t="s">
        <v>537</v>
      </c>
    </row>
    <row r="10" spans="2:48" ht="15" customHeight="1" x14ac:dyDescent="0.15">
      <c r="L10" s="137" t="s">
        <v>602</v>
      </c>
      <c r="M10" s="137" t="s">
        <v>443</v>
      </c>
      <c r="AA10" s="137" t="s">
        <v>592</v>
      </c>
      <c r="AC10" s="137" t="s">
        <v>579</v>
      </c>
      <c r="AD10" s="137" t="s">
        <v>568</v>
      </c>
      <c r="AI10" s="137" t="s">
        <v>555</v>
      </c>
      <c r="AO10" s="137" t="s">
        <v>475</v>
      </c>
      <c r="AP10" s="137" t="s">
        <v>501</v>
      </c>
      <c r="AR10" s="137" t="s">
        <v>515</v>
      </c>
      <c r="AU10" s="137" t="s">
        <v>538</v>
      </c>
    </row>
    <row r="11" spans="2:48" ht="15" customHeight="1" x14ac:dyDescent="0.15">
      <c r="L11" s="137" t="s">
        <v>603</v>
      </c>
      <c r="M11" s="137" t="s">
        <v>444</v>
      </c>
      <c r="AA11" s="137" t="s">
        <v>593</v>
      </c>
      <c r="AC11" s="137" t="s">
        <v>580</v>
      </c>
      <c r="AD11" s="137" t="s">
        <v>569</v>
      </c>
      <c r="AI11" s="137" t="s">
        <v>556</v>
      </c>
      <c r="AO11" s="137" t="s">
        <v>476</v>
      </c>
      <c r="AP11" s="137" t="s">
        <v>502</v>
      </c>
      <c r="AR11" s="137" t="s">
        <v>516</v>
      </c>
      <c r="AU11" s="137" t="s">
        <v>539</v>
      </c>
    </row>
    <row r="12" spans="2:48" ht="15" customHeight="1" x14ac:dyDescent="0.15">
      <c r="L12" s="137" t="s">
        <v>604</v>
      </c>
      <c r="M12" s="137" t="s">
        <v>445</v>
      </c>
      <c r="AA12" s="137" t="s">
        <v>594</v>
      </c>
      <c r="AC12" s="137" t="s">
        <v>581</v>
      </c>
      <c r="AD12" s="137" t="s">
        <v>570</v>
      </c>
      <c r="AI12" s="137" t="s">
        <v>557</v>
      </c>
      <c r="AO12" s="137" t="s">
        <v>477</v>
      </c>
      <c r="AP12" s="137" t="s">
        <v>503</v>
      </c>
      <c r="AR12" s="137" t="s">
        <v>517</v>
      </c>
      <c r="AU12" s="137" t="s">
        <v>540</v>
      </c>
    </row>
    <row r="13" spans="2:48" ht="15" customHeight="1" x14ac:dyDescent="0.15">
      <c r="L13" s="137" t="s">
        <v>605</v>
      </c>
      <c r="M13" s="137" t="s">
        <v>446</v>
      </c>
      <c r="AC13" s="137" t="s">
        <v>582</v>
      </c>
      <c r="AD13" s="137" t="s">
        <v>571</v>
      </c>
      <c r="AO13" s="137" t="s">
        <v>478</v>
      </c>
      <c r="AP13" s="137" t="s">
        <v>504</v>
      </c>
      <c r="AR13" s="137" t="s">
        <v>518</v>
      </c>
    </row>
    <row r="14" spans="2:48" ht="15" customHeight="1" x14ac:dyDescent="0.15">
      <c r="L14" s="137" t="s">
        <v>606</v>
      </c>
      <c r="M14" s="137" t="s">
        <v>447</v>
      </c>
      <c r="AC14" s="137" t="s">
        <v>583</v>
      </c>
      <c r="AO14" s="137" t="s">
        <v>479</v>
      </c>
      <c r="AR14" s="137" t="s">
        <v>519</v>
      </c>
    </row>
    <row r="15" spans="2:48" ht="15" customHeight="1" x14ac:dyDescent="0.15">
      <c r="L15" s="137" t="s">
        <v>607</v>
      </c>
      <c r="M15" s="137" t="s">
        <v>448</v>
      </c>
      <c r="Q15" s="264"/>
      <c r="AC15" s="137" t="s">
        <v>584</v>
      </c>
      <c r="AO15" s="137" t="s">
        <v>480</v>
      </c>
      <c r="AR15" s="137" t="s">
        <v>520</v>
      </c>
    </row>
    <row r="16" spans="2:48" ht="15" customHeight="1" x14ac:dyDescent="0.15">
      <c r="L16" s="137" t="s">
        <v>608</v>
      </c>
      <c r="M16" s="137" t="s">
        <v>449</v>
      </c>
      <c r="Q16" s="264"/>
      <c r="AO16" s="137" t="s">
        <v>481</v>
      </c>
    </row>
    <row r="17" spans="2:41" ht="15" customHeight="1" x14ac:dyDescent="0.15">
      <c r="L17" s="137" t="s">
        <v>609</v>
      </c>
      <c r="M17" s="137" t="s">
        <v>450</v>
      </c>
      <c r="Q17" s="264"/>
      <c r="AO17" s="137" t="s">
        <v>482</v>
      </c>
    </row>
    <row r="18" spans="2:41" ht="15" customHeight="1" x14ac:dyDescent="0.15">
      <c r="L18" s="137" t="s">
        <v>610</v>
      </c>
      <c r="M18" s="137" t="s">
        <v>451</v>
      </c>
      <c r="Q18" s="264"/>
      <c r="AO18" s="137" t="s">
        <v>483</v>
      </c>
    </row>
    <row r="19" spans="2:41" ht="15" customHeight="1" x14ac:dyDescent="0.15">
      <c r="L19" s="137" t="s">
        <v>611</v>
      </c>
      <c r="M19" s="137" t="s">
        <v>452</v>
      </c>
      <c r="Q19" s="264"/>
      <c r="AO19" s="137" t="s">
        <v>484</v>
      </c>
    </row>
    <row r="20" spans="2:41" ht="15" customHeight="1" x14ac:dyDescent="0.15">
      <c r="M20" s="137" t="s">
        <v>453</v>
      </c>
      <c r="Q20" s="264"/>
      <c r="AO20" s="137" t="s">
        <v>485</v>
      </c>
    </row>
    <row r="21" spans="2:41" ht="15" customHeight="1" x14ac:dyDescent="0.15">
      <c r="M21" s="137" t="s">
        <v>454</v>
      </c>
      <c r="Q21" s="264"/>
      <c r="AO21" s="137" t="s">
        <v>486</v>
      </c>
    </row>
    <row r="22" spans="2:41" ht="15" customHeight="1" x14ac:dyDescent="0.15">
      <c r="M22" s="137" t="s">
        <v>455</v>
      </c>
      <c r="Q22" s="264"/>
      <c r="AO22" s="137" t="s">
        <v>487</v>
      </c>
    </row>
    <row r="23" spans="2:41" ht="15" customHeight="1" x14ac:dyDescent="0.15">
      <c r="M23" s="137" t="s">
        <v>456</v>
      </c>
      <c r="Q23" s="264"/>
      <c r="AO23" s="137" t="s">
        <v>488</v>
      </c>
    </row>
    <row r="24" spans="2:41" ht="15" customHeight="1" x14ac:dyDescent="0.15">
      <c r="B24" s="133"/>
      <c r="C24" s="133"/>
      <c r="M24" s="137" t="s">
        <v>457</v>
      </c>
      <c r="Q24" s="264"/>
      <c r="AO24" s="137" t="s">
        <v>489</v>
      </c>
    </row>
    <row r="25" spans="2:41" ht="15" customHeight="1" x14ac:dyDescent="0.15">
      <c r="M25" s="137" t="s">
        <v>458</v>
      </c>
      <c r="Q25" s="264"/>
      <c r="AO25" s="137" t="s">
        <v>490</v>
      </c>
    </row>
    <row r="26" spans="2:41" ht="15" customHeight="1" x14ac:dyDescent="0.15">
      <c r="M26" s="137" t="s">
        <v>459</v>
      </c>
      <c r="Q26" s="264"/>
      <c r="AO26" s="137" t="s">
        <v>491</v>
      </c>
    </row>
    <row r="27" spans="2:41" ht="15" customHeight="1" x14ac:dyDescent="0.15">
      <c r="M27" s="137" t="s">
        <v>460</v>
      </c>
      <c r="Q27" s="264"/>
      <c r="AO27" s="137" t="s">
        <v>492</v>
      </c>
    </row>
    <row r="28" spans="2:41" ht="15" customHeight="1" x14ac:dyDescent="0.15">
      <c r="Q28" s="264"/>
      <c r="AO28" s="137" t="s">
        <v>493</v>
      </c>
    </row>
    <row r="29" spans="2:41" ht="15" customHeight="1" x14ac:dyDescent="0.15">
      <c r="Q29" s="264"/>
    </row>
    <row r="30" spans="2:41" ht="15" customHeight="1" x14ac:dyDescent="0.15">
      <c r="Q30" s="264"/>
    </row>
    <row r="31" spans="2:41" ht="15" customHeight="1" x14ac:dyDescent="0.15">
      <c r="Q31" s="264"/>
    </row>
  </sheetData>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87B0E-6CD8-47A0-AED5-1C89A9040E0A}">
  <sheetPr>
    <tabColor theme="0" tint="-0.499984740745262"/>
  </sheetPr>
  <dimension ref="A1:AQ480"/>
  <sheetViews>
    <sheetView workbookViewId="0">
      <selection activeCell="C18" sqref="C18:D18"/>
    </sheetView>
  </sheetViews>
  <sheetFormatPr defaultRowHeight="13.5" x14ac:dyDescent="0.15"/>
  <cols>
    <col min="1" max="1" width="30.25" customWidth="1"/>
    <col min="2" max="2" width="23.375" customWidth="1"/>
    <col min="3" max="3" width="18.125" customWidth="1"/>
    <col min="4" max="7" width="15.375" customWidth="1"/>
    <col min="8" max="9" width="17.75" customWidth="1"/>
    <col min="10" max="11" width="18.125" customWidth="1"/>
    <col min="12" max="12" width="16.875" customWidth="1"/>
    <col min="13" max="17" width="26.25" customWidth="1"/>
    <col min="18" max="18" width="3.5" customWidth="1"/>
    <col min="19" max="20" width="10.875" customWidth="1"/>
    <col min="21" max="21" width="2.875" customWidth="1"/>
    <col min="22" max="22" width="12.25" customWidth="1"/>
    <col min="23" max="23" width="2.5" hidden="1" customWidth="1"/>
    <col min="24" max="24" width="16.25" customWidth="1"/>
    <col min="25" max="43" width="23.125" customWidth="1"/>
  </cols>
  <sheetData>
    <row r="1" spans="1:43" ht="17.25" thickBot="1" x14ac:dyDescent="0.2">
      <c r="A1" s="198" t="s">
        <v>772</v>
      </c>
      <c r="B1" s="199"/>
      <c r="C1" s="69"/>
      <c r="D1" s="69"/>
      <c r="E1" s="69"/>
      <c r="F1" s="69"/>
      <c r="G1" s="69"/>
      <c r="H1" s="69"/>
      <c r="I1" s="69"/>
      <c r="J1" s="69"/>
      <c r="K1" s="69"/>
      <c r="L1" s="69"/>
      <c r="M1" s="51" t="s">
        <v>108</v>
      </c>
      <c r="N1" s="51" t="s">
        <v>108</v>
      </c>
      <c r="O1" s="51" t="s">
        <v>108</v>
      </c>
      <c r="P1" s="51" t="s">
        <v>108</v>
      </c>
      <c r="Q1" s="51" t="s">
        <v>108</v>
      </c>
      <c r="R1" s="51"/>
      <c r="S1" s="68"/>
      <c r="T1" s="68"/>
      <c r="U1" s="68"/>
      <c r="V1" s="68"/>
      <c r="W1" s="51"/>
      <c r="X1" s="68"/>
      <c r="Y1" s="68"/>
      <c r="Z1" s="68"/>
      <c r="AA1" s="68"/>
      <c r="AB1" s="68"/>
      <c r="AC1" s="68"/>
      <c r="AD1" s="68"/>
      <c r="AE1" s="68"/>
      <c r="AF1" s="68"/>
      <c r="AG1" s="68"/>
      <c r="AH1" s="68"/>
      <c r="AI1" s="68"/>
      <c r="AJ1" s="68"/>
      <c r="AK1" s="68"/>
      <c r="AL1" s="68"/>
      <c r="AM1" s="68"/>
      <c r="AN1" s="68"/>
      <c r="AO1" s="68"/>
      <c r="AP1" s="68"/>
      <c r="AQ1" s="68"/>
    </row>
    <row r="2" spans="1:43" x14ac:dyDescent="0.15">
      <c r="A2" s="60" t="s">
        <v>101</v>
      </c>
      <c r="B2" s="60" t="s">
        <v>101</v>
      </c>
      <c r="C2" s="60"/>
      <c r="D2" s="70"/>
      <c r="E2" s="70"/>
      <c r="F2" s="70"/>
      <c r="G2" s="70"/>
      <c r="H2" s="71"/>
      <c r="I2" s="71"/>
      <c r="J2" s="60"/>
      <c r="K2" s="60"/>
      <c r="L2" s="70"/>
      <c r="M2" s="124"/>
      <c r="N2" s="124"/>
      <c r="O2" s="124"/>
      <c r="P2" s="124"/>
      <c r="Q2" s="124"/>
      <c r="R2" s="202"/>
      <c r="S2" s="56" t="s">
        <v>125</v>
      </c>
      <c r="T2" s="56"/>
      <c r="U2" s="172"/>
      <c r="V2" s="172"/>
      <c r="W2" s="200"/>
      <c r="X2" s="108" t="s">
        <v>61</v>
      </c>
      <c r="Y2" s="108"/>
      <c r="Z2" s="108"/>
      <c r="AA2" s="53"/>
      <c r="AB2" s="55"/>
      <c r="AC2" s="55"/>
      <c r="AD2" s="54"/>
      <c r="AE2" s="54"/>
      <c r="AF2" s="54"/>
      <c r="AG2" s="54"/>
      <c r="AH2" s="57"/>
      <c r="AI2" s="57"/>
      <c r="AJ2" s="58"/>
      <c r="AK2" s="56" t="s">
        <v>93</v>
      </c>
      <c r="AL2" s="57"/>
      <c r="AM2" s="57"/>
      <c r="AN2" s="57"/>
      <c r="AO2" s="72" t="s">
        <v>109</v>
      </c>
      <c r="AP2" s="130"/>
      <c r="AQ2" s="131"/>
    </row>
    <row r="3" spans="1:43" s="100" customFormat="1" ht="94.5" customHeight="1" x14ac:dyDescent="0.15">
      <c r="A3" s="98" t="s">
        <v>52</v>
      </c>
      <c r="B3" s="101"/>
      <c r="C3" s="61" t="s">
        <v>1175</v>
      </c>
      <c r="D3" s="61" t="s">
        <v>795</v>
      </c>
      <c r="E3" s="61" t="s">
        <v>796</v>
      </c>
      <c r="F3" s="61" t="s">
        <v>797</v>
      </c>
      <c r="G3" s="61" t="s">
        <v>773</v>
      </c>
      <c r="H3" s="61" t="s">
        <v>104</v>
      </c>
      <c r="I3" s="61" t="s">
        <v>1154</v>
      </c>
      <c r="J3" s="61" t="s">
        <v>1176</v>
      </c>
      <c r="K3" s="61"/>
      <c r="L3" s="61" t="s">
        <v>1177</v>
      </c>
      <c r="M3" s="125" t="s">
        <v>105</v>
      </c>
      <c r="N3" s="125" t="s">
        <v>1162</v>
      </c>
      <c r="O3" s="125" t="s">
        <v>1151</v>
      </c>
      <c r="P3" s="125" t="s">
        <v>1152</v>
      </c>
      <c r="Q3" s="125" t="s">
        <v>1153</v>
      </c>
      <c r="R3" s="203"/>
      <c r="S3" s="65" t="s">
        <v>126</v>
      </c>
      <c r="T3" s="173" t="s">
        <v>805</v>
      </c>
      <c r="U3" s="173"/>
      <c r="V3" s="173" t="s">
        <v>889</v>
      </c>
      <c r="W3" s="201"/>
      <c r="X3" s="109" t="s">
        <v>100</v>
      </c>
      <c r="Y3" s="112" t="s">
        <v>110</v>
      </c>
      <c r="Z3" s="115" t="s">
        <v>111</v>
      </c>
      <c r="AA3" s="102" t="s">
        <v>112</v>
      </c>
      <c r="AB3" s="102" t="s">
        <v>883</v>
      </c>
      <c r="AC3" s="102" t="s">
        <v>884</v>
      </c>
      <c r="AD3" s="64" t="s">
        <v>885</v>
      </c>
      <c r="AE3" s="64" t="s">
        <v>886</v>
      </c>
      <c r="AF3" s="64" t="s">
        <v>96</v>
      </c>
      <c r="AG3" s="116" t="s">
        <v>97</v>
      </c>
      <c r="AH3" s="99" t="s">
        <v>106</v>
      </c>
      <c r="AI3" s="99" t="s">
        <v>107</v>
      </c>
      <c r="AJ3" s="104" t="s">
        <v>95</v>
      </c>
      <c r="AK3" s="65" t="s">
        <v>1155</v>
      </c>
      <c r="AL3" s="103" t="s">
        <v>113</v>
      </c>
      <c r="AM3" s="103" t="s">
        <v>887</v>
      </c>
      <c r="AN3" s="59" t="s">
        <v>94</v>
      </c>
      <c r="AO3" s="62" t="s">
        <v>759</v>
      </c>
      <c r="AP3" s="63" t="s">
        <v>99</v>
      </c>
      <c r="AQ3" s="73" t="s">
        <v>114</v>
      </c>
    </row>
    <row r="4" spans="1:43" ht="14.25" x14ac:dyDescent="0.15">
      <c r="A4" s="674" t="s">
        <v>53</v>
      </c>
      <c r="B4" s="105" t="s">
        <v>115</v>
      </c>
      <c r="C4" s="42">
        <v>45000</v>
      </c>
      <c r="D4" s="42">
        <v>35000</v>
      </c>
      <c r="E4" s="42">
        <v>35000</v>
      </c>
      <c r="F4" s="42">
        <v>35000</v>
      </c>
      <c r="G4" s="42">
        <v>35000</v>
      </c>
      <c r="H4" s="41"/>
      <c r="I4" s="41"/>
      <c r="J4" s="42" t="s">
        <v>1183</v>
      </c>
      <c r="K4" s="42"/>
      <c r="L4" s="42">
        <v>40000</v>
      </c>
      <c r="M4" s="45"/>
      <c r="N4" s="45"/>
      <c r="O4" s="45"/>
      <c r="P4" s="45"/>
      <c r="Q4" s="45"/>
      <c r="R4" s="107"/>
      <c r="S4" s="77">
        <v>25000</v>
      </c>
      <c r="T4" s="41"/>
      <c r="U4" s="41"/>
      <c r="V4" s="41"/>
      <c r="W4" s="107"/>
      <c r="X4" s="110">
        <v>2000</v>
      </c>
      <c r="Y4" s="113">
        <v>2000</v>
      </c>
      <c r="Z4" s="75">
        <f>+$C4*0.1</f>
        <v>4500</v>
      </c>
      <c r="AA4" s="138">
        <f>+$C4*0.4</f>
        <v>18000</v>
      </c>
      <c r="AB4" s="138">
        <f>+$C4*0.2</f>
        <v>9000</v>
      </c>
      <c r="AC4" s="138">
        <f>+$C4*0.4</f>
        <v>18000</v>
      </c>
      <c r="AD4" s="138">
        <f>+$C4*0.2</f>
        <v>9000</v>
      </c>
      <c r="AE4" s="138">
        <f>+$C4*0.4</f>
        <v>18000</v>
      </c>
      <c r="AF4" s="138">
        <f>+$C4*0.4</f>
        <v>18000</v>
      </c>
      <c r="AG4" s="139">
        <f>+$C4*0.4</f>
        <v>18000</v>
      </c>
      <c r="AH4" s="78">
        <v>180000</v>
      </c>
      <c r="AI4" s="78">
        <v>360000</v>
      </c>
      <c r="AJ4" s="79">
        <v>60000</v>
      </c>
      <c r="AK4" s="140">
        <f>+$C4*0.2</f>
        <v>9000</v>
      </c>
      <c r="AL4" s="138">
        <f>+$C4*0.2</f>
        <v>9000</v>
      </c>
      <c r="AM4" s="75">
        <v>150000</v>
      </c>
      <c r="AN4" s="78">
        <v>60000</v>
      </c>
      <c r="AO4" s="141">
        <f>+$C4*0.6</f>
        <v>27000</v>
      </c>
      <c r="AP4" s="138">
        <f>+$C4*0.4</f>
        <v>18000</v>
      </c>
      <c r="AQ4" s="138">
        <f>+$C4*0.2</f>
        <v>9000</v>
      </c>
    </row>
    <row r="5" spans="1:43" ht="15" thickBot="1" x14ac:dyDescent="0.2">
      <c r="A5" s="677"/>
      <c r="B5" s="82" t="s">
        <v>116</v>
      </c>
      <c r="C5" s="43">
        <v>65000</v>
      </c>
      <c r="D5" s="43">
        <v>45000</v>
      </c>
      <c r="E5" s="43">
        <v>45000</v>
      </c>
      <c r="F5" s="43">
        <v>45000</v>
      </c>
      <c r="G5" s="43">
        <v>45000</v>
      </c>
      <c r="H5" s="83"/>
      <c r="I5" s="83"/>
      <c r="J5" s="43" t="s">
        <v>1183</v>
      </c>
      <c r="K5" s="43"/>
      <c r="L5" s="43">
        <v>50000</v>
      </c>
      <c r="M5" s="126"/>
      <c r="N5" s="126"/>
      <c r="O5" s="126"/>
      <c r="P5" s="126"/>
      <c r="Q5" s="126"/>
      <c r="R5" s="40"/>
      <c r="S5" s="80">
        <v>25000</v>
      </c>
      <c r="T5" s="41"/>
      <c r="U5" s="41"/>
      <c r="V5" s="41"/>
      <c r="W5" s="40"/>
      <c r="X5" s="111">
        <v>2000</v>
      </c>
      <c r="Y5" s="114">
        <v>2000</v>
      </c>
      <c r="Z5" s="81">
        <f t="shared" ref="Z5:Z33" si="0">+$C5*0.1</f>
        <v>6500</v>
      </c>
      <c r="AA5" s="141">
        <f t="shared" ref="AA5:AE7" si="1">+$C5*0.4</f>
        <v>26000</v>
      </c>
      <c r="AB5" s="141">
        <f t="shared" ref="AB5:AD9" si="2">+$C5*0.2</f>
        <v>13000</v>
      </c>
      <c r="AC5" s="141">
        <f t="shared" si="1"/>
        <v>26000</v>
      </c>
      <c r="AD5" s="141">
        <f t="shared" si="2"/>
        <v>13000</v>
      </c>
      <c r="AE5" s="141">
        <f t="shared" si="1"/>
        <v>26000</v>
      </c>
      <c r="AF5" s="141">
        <f t="shared" ref="AF5:AG9" si="3">+$C5*0.4</f>
        <v>26000</v>
      </c>
      <c r="AG5" s="142">
        <f t="shared" si="3"/>
        <v>26000</v>
      </c>
      <c r="AH5" s="78">
        <v>180000</v>
      </c>
      <c r="AI5" s="78">
        <v>360000</v>
      </c>
      <c r="AJ5" s="79">
        <v>60000</v>
      </c>
      <c r="AK5" s="143">
        <f t="shared" ref="AK5:AK33" si="4">+$C5*0.2</f>
        <v>13000</v>
      </c>
      <c r="AL5" s="141">
        <f t="shared" ref="AL5:AL33" si="5">+$C5*0.2</f>
        <v>13000</v>
      </c>
      <c r="AM5" s="78">
        <v>150000</v>
      </c>
      <c r="AN5" s="78">
        <v>60000</v>
      </c>
      <c r="AO5" s="141">
        <f t="shared" ref="AO5:AO33" si="6">+$C5*0.6</f>
        <v>39000</v>
      </c>
      <c r="AP5" s="141">
        <f t="shared" ref="AP5:AP33" si="7">+$C5*0.4</f>
        <v>26000</v>
      </c>
      <c r="AQ5" s="141">
        <f t="shared" ref="AQ5:AQ33" si="8">+$C5*0.2</f>
        <v>13000</v>
      </c>
    </row>
    <row r="6" spans="1:43" ht="14.25" x14ac:dyDescent="0.15">
      <c r="A6" s="675" t="s">
        <v>117</v>
      </c>
      <c r="B6" s="84" t="s">
        <v>920</v>
      </c>
      <c r="C6" s="85">
        <v>62000</v>
      </c>
      <c r="D6" s="85">
        <v>40000</v>
      </c>
      <c r="E6" s="85">
        <v>40000</v>
      </c>
      <c r="F6" s="85">
        <v>40000</v>
      </c>
      <c r="G6" s="85">
        <v>40000</v>
      </c>
      <c r="H6" s="86"/>
      <c r="I6" s="86"/>
      <c r="J6" s="85" t="s">
        <v>1183</v>
      </c>
      <c r="K6" s="85"/>
      <c r="L6" s="85">
        <v>45000</v>
      </c>
      <c r="M6" s="106">
        <v>54000</v>
      </c>
      <c r="N6" s="106">
        <f>+M6*1.2</f>
        <v>64800</v>
      </c>
      <c r="O6" s="106">
        <f>+M6*1.2</f>
        <v>64800</v>
      </c>
      <c r="P6" s="106">
        <f>+M6*1.4</f>
        <v>75600</v>
      </c>
      <c r="Q6" s="106">
        <f>+M6*0.1</f>
        <v>5400</v>
      </c>
      <c r="R6" s="153"/>
      <c r="S6" s="88">
        <v>25000</v>
      </c>
      <c r="T6" s="41"/>
      <c r="U6" s="41"/>
      <c r="V6" s="41"/>
      <c r="W6" s="153"/>
      <c r="X6" s="120">
        <v>2000</v>
      </c>
      <c r="Y6" s="121">
        <v>2000</v>
      </c>
      <c r="Z6" s="87">
        <f t="shared" si="0"/>
        <v>6200</v>
      </c>
      <c r="AA6" s="144">
        <f t="shared" si="1"/>
        <v>24800</v>
      </c>
      <c r="AB6" s="144">
        <f t="shared" si="2"/>
        <v>12400</v>
      </c>
      <c r="AC6" s="144">
        <f t="shared" si="1"/>
        <v>24800</v>
      </c>
      <c r="AD6" s="144">
        <f t="shared" si="2"/>
        <v>12400</v>
      </c>
      <c r="AE6" s="144">
        <f t="shared" si="1"/>
        <v>24800</v>
      </c>
      <c r="AF6" s="144">
        <f t="shared" si="3"/>
        <v>24800</v>
      </c>
      <c r="AG6" s="145">
        <f t="shared" si="3"/>
        <v>24800</v>
      </c>
      <c r="AH6" s="89">
        <v>180000</v>
      </c>
      <c r="AI6" s="89">
        <v>360000</v>
      </c>
      <c r="AJ6" s="90">
        <v>60000</v>
      </c>
      <c r="AK6" s="146">
        <f t="shared" si="4"/>
        <v>12400</v>
      </c>
      <c r="AL6" s="144">
        <f t="shared" si="5"/>
        <v>12400</v>
      </c>
      <c r="AM6" s="87">
        <v>150000</v>
      </c>
      <c r="AN6" s="87">
        <v>60000</v>
      </c>
      <c r="AO6" s="144">
        <f t="shared" si="6"/>
        <v>37200</v>
      </c>
      <c r="AP6" s="144">
        <f t="shared" si="7"/>
        <v>24800</v>
      </c>
      <c r="AQ6" s="144">
        <f t="shared" si="8"/>
        <v>12400</v>
      </c>
    </row>
    <row r="7" spans="1:43" ht="14.25" x14ac:dyDescent="0.15">
      <c r="A7" s="343"/>
      <c r="B7" s="105" t="s">
        <v>921</v>
      </c>
      <c r="C7" s="42">
        <v>86000</v>
      </c>
      <c r="D7" s="42">
        <v>50000</v>
      </c>
      <c r="E7" s="42">
        <v>50000</v>
      </c>
      <c r="F7" s="42">
        <v>50000</v>
      </c>
      <c r="G7" s="42">
        <v>50000</v>
      </c>
      <c r="H7" s="41"/>
      <c r="I7" s="41"/>
      <c r="J7" s="42" t="s">
        <v>1183</v>
      </c>
      <c r="K7" s="42"/>
      <c r="L7" s="42">
        <v>55000</v>
      </c>
      <c r="M7" s="127">
        <v>66000</v>
      </c>
      <c r="N7" s="127">
        <f t="shared" ref="N7:N33" si="9">+M7*1.2</f>
        <v>79200</v>
      </c>
      <c r="O7" s="127">
        <f t="shared" ref="O7:O33" si="10">+M7*1.2</f>
        <v>79200</v>
      </c>
      <c r="P7" s="127">
        <f t="shared" ref="P7:P33" si="11">+M7*1.4</f>
        <v>92400</v>
      </c>
      <c r="Q7" s="127">
        <f t="shared" ref="Q7:Q33" si="12">+M7*0.1</f>
        <v>6600</v>
      </c>
      <c r="R7" s="40"/>
      <c r="S7" s="80">
        <v>25000</v>
      </c>
      <c r="T7" s="41"/>
      <c r="U7" s="41"/>
      <c r="V7" s="41"/>
      <c r="W7" s="40"/>
      <c r="X7" s="111">
        <v>2000</v>
      </c>
      <c r="Y7" s="114">
        <v>2000</v>
      </c>
      <c r="Z7" s="81">
        <f t="shared" si="0"/>
        <v>8600</v>
      </c>
      <c r="AA7" s="138">
        <f t="shared" si="1"/>
        <v>34400</v>
      </c>
      <c r="AB7" s="138">
        <f t="shared" si="2"/>
        <v>17200</v>
      </c>
      <c r="AC7" s="138">
        <f t="shared" si="1"/>
        <v>34400</v>
      </c>
      <c r="AD7" s="138">
        <f t="shared" si="2"/>
        <v>17200</v>
      </c>
      <c r="AE7" s="138">
        <f t="shared" si="1"/>
        <v>34400</v>
      </c>
      <c r="AF7" s="138">
        <f t="shared" si="3"/>
        <v>34400</v>
      </c>
      <c r="AG7" s="139">
        <f t="shared" si="3"/>
        <v>34400</v>
      </c>
      <c r="AH7" s="75">
        <v>180000</v>
      </c>
      <c r="AI7" s="75">
        <v>360000</v>
      </c>
      <c r="AJ7" s="76">
        <v>60000</v>
      </c>
      <c r="AK7" s="140">
        <f t="shared" si="4"/>
        <v>17200</v>
      </c>
      <c r="AL7" s="138">
        <f t="shared" si="5"/>
        <v>17200</v>
      </c>
      <c r="AM7" s="75">
        <v>150000</v>
      </c>
      <c r="AN7" s="75">
        <v>60000</v>
      </c>
      <c r="AO7" s="138">
        <f t="shared" si="6"/>
        <v>51600</v>
      </c>
      <c r="AP7" s="138">
        <f t="shared" si="7"/>
        <v>34400</v>
      </c>
      <c r="AQ7" s="138">
        <f t="shared" si="8"/>
        <v>17200</v>
      </c>
    </row>
    <row r="8" spans="1:43" ht="15" thickBot="1" x14ac:dyDescent="0.2">
      <c r="A8" s="343"/>
      <c r="B8" s="82" t="s">
        <v>941</v>
      </c>
      <c r="C8" s="43">
        <v>122000</v>
      </c>
      <c r="D8" s="43">
        <v>88000</v>
      </c>
      <c r="E8" s="43">
        <v>88000</v>
      </c>
      <c r="F8" s="43">
        <v>88000</v>
      </c>
      <c r="G8" s="43">
        <v>88000</v>
      </c>
      <c r="H8" s="83"/>
      <c r="I8" s="83"/>
      <c r="J8" s="43" t="s">
        <v>1183</v>
      </c>
      <c r="K8" s="43"/>
      <c r="L8" s="43">
        <v>90000</v>
      </c>
      <c r="M8" s="128">
        <v>108000</v>
      </c>
      <c r="N8" s="128">
        <f t="shared" si="9"/>
        <v>129600</v>
      </c>
      <c r="O8" s="128">
        <f t="shared" si="10"/>
        <v>129600</v>
      </c>
      <c r="P8" s="128">
        <f t="shared" si="11"/>
        <v>151200</v>
      </c>
      <c r="Q8" s="128">
        <f t="shared" si="12"/>
        <v>10800</v>
      </c>
      <c r="R8" s="49"/>
      <c r="S8" s="74">
        <v>25000</v>
      </c>
      <c r="T8" s="83"/>
      <c r="U8" s="83"/>
      <c r="V8" s="83"/>
      <c r="W8" s="154"/>
      <c r="X8" s="122">
        <v>2000</v>
      </c>
      <c r="Y8" s="123">
        <v>2000</v>
      </c>
      <c r="Z8" s="93">
        <f t="shared" si="0"/>
        <v>12200</v>
      </c>
      <c r="AA8" s="147">
        <f>+$C8*0.4</f>
        <v>48800</v>
      </c>
      <c r="AB8" s="147">
        <f t="shared" si="2"/>
        <v>24400</v>
      </c>
      <c r="AC8" s="147">
        <f>+$C8*0.4</f>
        <v>48800</v>
      </c>
      <c r="AD8" s="147">
        <f t="shared" si="2"/>
        <v>24400</v>
      </c>
      <c r="AE8" s="147">
        <f>+$C8*0.4</f>
        <v>48800</v>
      </c>
      <c r="AF8" s="147">
        <f t="shared" si="3"/>
        <v>48800</v>
      </c>
      <c r="AG8" s="148">
        <f t="shared" si="3"/>
        <v>48800</v>
      </c>
      <c r="AH8" s="93">
        <v>180000</v>
      </c>
      <c r="AI8" s="93">
        <v>360000</v>
      </c>
      <c r="AJ8" s="94">
        <v>60000</v>
      </c>
      <c r="AK8" s="149">
        <f t="shared" si="4"/>
        <v>24400</v>
      </c>
      <c r="AL8" s="147">
        <f t="shared" si="5"/>
        <v>24400</v>
      </c>
      <c r="AM8" s="93">
        <v>150000</v>
      </c>
      <c r="AN8" s="93">
        <v>60000</v>
      </c>
      <c r="AO8" s="147">
        <f t="shared" si="6"/>
        <v>73200</v>
      </c>
      <c r="AP8" s="147">
        <f t="shared" si="7"/>
        <v>48800</v>
      </c>
      <c r="AQ8" s="147">
        <f t="shared" si="8"/>
        <v>24400</v>
      </c>
    </row>
    <row r="9" spans="1:43" ht="15" thickBot="1" x14ac:dyDescent="0.2">
      <c r="A9" s="677"/>
      <c r="B9" s="82" t="s">
        <v>942</v>
      </c>
      <c r="C9" s="43">
        <v>122000</v>
      </c>
      <c r="D9" s="43">
        <v>88000</v>
      </c>
      <c r="E9" s="43">
        <v>88000</v>
      </c>
      <c r="F9" s="43">
        <v>88000</v>
      </c>
      <c r="G9" s="43">
        <v>88000</v>
      </c>
      <c r="H9" s="83"/>
      <c r="I9" s="83"/>
      <c r="J9" s="43" t="s">
        <v>1183</v>
      </c>
      <c r="K9" s="43"/>
      <c r="L9" s="43">
        <v>90000</v>
      </c>
      <c r="M9" s="128">
        <v>108000</v>
      </c>
      <c r="N9" s="128">
        <f t="shared" si="9"/>
        <v>129600</v>
      </c>
      <c r="O9" s="128">
        <f t="shared" si="10"/>
        <v>129600</v>
      </c>
      <c r="P9" s="128">
        <f t="shared" si="11"/>
        <v>151200</v>
      </c>
      <c r="Q9" s="128">
        <f t="shared" si="12"/>
        <v>10800</v>
      </c>
      <c r="R9" s="49"/>
      <c r="S9" s="74">
        <v>25000</v>
      </c>
      <c r="T9" s="83"/>
      <c r="U9" s="83"/>
      <c r="V9" s="83"/>
      <c r="W9" s="154"/>
      <c r="X9" s="122">
        <v>2000</v>
      </c>
      <c r="Y9" s="123">
        <v>2000</v>
      </c>
      <c r="Z9" s="93">
        <f t="shared" si="0"/>
        <v>12200</v>
      </c>
      <c r="AA9" s="147">
        <f>+$C9*0.4</f>
        <v>48800</v>
      </c>
      <c r="AB9" s="147">
        <f t="shared" si="2"/>
        <v>24400</v>
      </c>
      <c r="AC9" s="147">
        <f>+$C9*0.4</f>
        <v>48800</v>
      </c>
      <c r="AD9" s="147">
        <f t="shared" si="2"/>
        <v>24400</v>
      </c>
      <c r="AE9" s="147">
        <f>+$C9*0.4</f>
        <v>48800</v>
      </c>
      <c r="AF9" s="147">
        <f t="shared" si="3"/>
        <v>48800</v>
      </c>
      <c r="AG9" s="148">
        <f t="shared" si="3"/>
        <v>48800</v>
      </c>
      <c r="AH9" s="93">
        <v>180000</v>
      </c>
      <c r="AI9" s="93">
        <v>360000</v>
      </c>
      <c r="AJ9" s="94">
        <v>60000</v>
      </c>
      <c r="AK9" s="149">
        <f t="shared" si="4"/>
        <v>24400</v>
      </c>
      <c r="AL9" s="147">
        <f t="shared" si="5"/>
        <v>24400</v>
      </c>
      <c r="AM9" s="93">
        <v>150000</v>
      </c>
      <c r="AN9" s="93">
        <v>60000</v>
      </c>
      <c r="AO9" s="147">
        <f t="shared" si="6"/>
        <v>73200</v>
      </c>
      <c r="AP9" s="147">
        <f t="shared" si="7"/>
        <v>48800</v>
      </c>
      <c r="AQ9" s="147">
        <f t="shared" si="8"/>
        <v>24400</v>
      </c>
    </row>
    <row r="10" spans="1:43" ht="14.25" x14ac:dyDescent="0.15">
      <c r="A10" s="675" t="s">
        <v>122</v>
      </c>
      <c r="B10" s="84" t="s">
        <v>66</v>
      </c>
      <c r="C10" s="85">
        <v>78000</v>
      </c>
      <c r="D10" s="85">
        <v>54000</v>
      </c>
      <c r="E10" s="85">
        <v>54000</v>
      </c>
      <c r="F10" s="85">
        <v>54000</v>
      </c>
      <c r="G10" s="85">
        <v>54000</v>
      </c>
      <c r="H10" s="85">
        <v>144000</v>
      </c>
      <c r="I10" s="85">
        <f>+H10*1.2</f>
        <v>172800</v>
      </c>
      <c r="J10" s="85" t="s">
        <v>1183</v>
      </c>
      <c r="K10" s="85"/>
      <c r="L10" s="85">
        <v>58000</v>
      </c>
      <c r="M10" s="129">
        <v>70000</v>
      </c>
      <c r="N10" s="129">
        <f t="shared" si="9"/>
        <v>84000</v>
      </c>
      <c r="O10" s="129">
        <f t="shared" si="10"/>
        <v>84000</v>
      </c>
      <c r="P10" s="129">
        <f t="shared" si="11"/>
        <v>98000</v>
      </c>
      <c r="Q10" s="129">
        <f t="shared" si="12"/>
        <v>7000</v>
      </c>
      <c r="R10" s="155"/>
      <c r="S10" s="88">
        <v>25000</v>
      </c>
      <c r="T10" s="120">
        <v>60000</v>
      </c>
      <c r="U10" s="120"/>
      <c r="V10" s="120">
        <v>3000</v>
      </c>
      <c r="W10" s="155"/>
      <c r="X10" s="117">
        <v>2000</v>
      </c>
      <c r="Y10" s="118">
        <v>2000</v>
      </c>
      <c r="Z10" s="92">
        <f t="shared" si="0"/>
        <v>7800</v>
      </c>
      <c r="AA10" s="150">
        <f>+$C10*0.4</f>
        <v>31200</v>
      </c>
      <c r="AB10" s="150">
        <f t="shared" ref="AB10:AD32" si="13">+$C10*0.2</f>
        <v>15600</v>
      </c>
      <c r="AC10" s="150">
        <f>+$C10*0.4</f>
        <v>31200</v>
      </c>
      <c r="AD10" s="150">
        <f t="shared" si="13"/>
        <v>15600</v>
      </c>
      <c r="AE10" s="150">
        <f>+$C10*0.4</f>
        <v>31200</v>
      </c>
      <c r="AF10" s="150">
        <f t="shared" ref="AF10:AG32" si="14">+$C10*0.4</f>
        <v>31200</v>
      </c>
      <c r="AG10" s="151">
        <f t="shared" si="14"/>
        <v>31200</v>
      </c>
      <c r="AH10" s="92">
        <v>180000</v>
      </c>
      <c r="AI10" s="92">
        <v>360000</v>
      </c>
      <c r="AJ10" s="119">
        <v>60000</v>
      </c>
      <c r="AK10" s="152">
        <f t="shared" si="4"/>
        <v>15600</v>
      </c>
      <c r="AL10" s="150">
        <f t="shared" si="5"/>
        <v>15600</v>
      </c>
      <c r="AM10" s="92">
        <v>150000</v>
      </c>
      <c r="AN10" s="92">
        <v>60000</v>
      </c>
      <c r="AO10" s="150">
        <f t="shared" si="6"/>
        <v>46800</v>
      </c>
      <c r="AP10" s="150">
        <f t="shared" si="7"/>
        <v>31200</v>
      </c>
      <c r="AQ10" s="150">
        <f t="shared" si="8"/>
        <v>15600</v>
      </c>
    </row>
    <row r="11" spans="1:43" ht="14.25" x14ac:dyDescent="0.15">
      <c r="A11" s="343"/>
      <c r="B11" s="91" t="s">
        <v>67</v>
      </c>
      <c r="C11" s="42">
        <v>102000</v>
      </c>
      <c r="D11" s="42">
        <v>62000</v>
      </c>
      <c r="E11" s="42">
        <v>62000</v>
      </c>
      <c r="F11" s="42">
        <v>62000</v>
      </c>
      <c r="G11" s="42">
        <v>62000</v>
      </c>
      <c r="H11" s="42">
        <v>168000</v>
      </c>
      <c r="I11" s="42">
        <f t="shared" ref="I11:I33" si="15">+H11*1.2</f>
        <v>201600</v>
      </c>
      <c r="J11" s="42" t="s">
        <v>1183</v>
      </c>
      <c r="K11" s="42"/>
      <c r="L11" s="42">
        <v>64000</v>
      </c>
      <c r="M11" s="46">
        <v>77000</v>
      </c>
      <c r="N11" s="46">
        <f t="shared" si="9"/>
        <v>92400</v>
      </c>
      <c r="O11" s="46">
        <f t="shared" si="10"/>
        <v>92400</v>
      </c>
      <c r="P11" s="46">
        <f t="shared" si="11"/>
        <v>107800</v>
      </c>
      <c r="Q11" s="46">
        <f t="shared" si="12"/>
        <v>7700</v>
      </c>
      <c r="R11" s="107"/>
      <c r="S11" s="77">
        <v>25000</v>
      </c>
      <c r="T11" s="110">
        <v>60000</v>
      </c>
      <c r="U11" s="110"/>
      <c r="V11" s="110">
        <v>3000</v>
      </c>
      <c r="W11" s="107"/>
      <c r="X11" s="110">
        <v>2000</v>
      </c>
      <c r="Y11" s="113">
        <v>2000</v>
      </c>
      <c r="Z11" s="75">
        <f t="shared" si="0"/>
        <v>10200</v>
      </c>
      <c r="AA11" s="138">
        <f t="shared" ref="AA11:AE33" si="16">+$C11*0.4</f>
        <v>40800</v>
      </c>
      <c r="AB11" s="138">
        <f t="shared" si="13"/>
        <v>20400</v>
      </c>
      <c r="AC11" s="138">
        <f t="shared" si="16"/>
        <v>40800</v>
      </c>
      <c r="AD11" s="138">
        <f t="shared" si="13"/>
        <v>20400</v>
      </c>
      <c r="AE11" s="138">
        <f t="shared" si="16"/>
        <v>40800</v>
      </c>
      <c r="AF11" s="138">
        <f t="shared" si="14"/>
        <v>40800</v>
      </c>
      <c r="AG11" s="139">
        <f t="shared" si="14"/>
        <v>40800</v>
      </c>
      <c r="AH11" s="78">
        <v>180000</v>
      </c>
      <c r="AI11" s="78">
        <v>360000</v>
      </c>
      <c r="AJ11" s="79">
        <v>60000</v>
      </c>
      <c r="AK11" s="140">
        <f t="shared" si="4"/>
        <v>20400</v>
      </c>
      <c r="AL11" s="138">
        <f t="shared" si="5"/>
        <v>20400</v>
      </c>
      <c r="AM11" s="75">
        <v>150000</v>
      </c>
      <c r="AN11" s="75">
        <v>60000</v>
      </c>
      <c r="AO11" s="138">
        <f t="shared" si="6"/>
        <v>61200</v>
      </c>
      <c r="AP11" s="138">
        <f t="shared" si="7"/>
        <v>40800</v>
      </c>
      <c r="AQ11" s="138">
        <f t="shared" si="8"/>
        <v>20400</v>
      </c>
    </row>
    <row r="12" spans="1:43" ht="14.25" x14ac:dyDescent="0.15">
      <c r="A12" s="343"/>
      <c r="B12" s="91" t="s">
        <v>997</v>
      </c>
      <c r="C12" s="42">
        <v>126000</v>
      </c>
      <c r="D12" s="42">
        <v>90000</v>
      </c>
      <c r="E12" s="42">
        <v>90000</v>
      </c>
      <c r="F12" s="42">
        <v>90000</v>
      </c>
      <c r="G12" s="42">
        <v>90000</v>
      </c>
      <c r="H12" s="42">
        <v>192000</v>
      </c>
      <c r="I12" s="42">
        <f t="shared" si="15"/>
        <v>230400</v>
      </c>
      <c r="J12" s="42" t="s">
        <v>1183</v>
      </c>
      <c r="K12" s="42"/>
      <c r="L12" s="42">
        <v>90000</v>
      </c>
      <c r="M12" s="46">
        <v>108000</v>
      </c>
      <c r="N12" s="46">
        <f t="shared" si="9"/>
        <v>129600</v>
      </c>
      <c r="O12" s="46">
        <f t="shared" si="10"/>
        <v>129600</v>
      </c>
      <c r="P12" s="46">
        <f t="shared" si="11"/>
        <v>151200</v>
      </c>
      <c r="Q12" s="46">
        <f t="shared" si="12"/>
        <v>10800</v>
      </c>
      <c r="R12" s="107"/>
      <c r="S12" s="77">
        <v>25000</v>
      </c>
      <c r="T12" s="110">
        <v>60000</v>
      </c>
      <c r="U12" s="110"/>
      <c r="V12" s="110">
        <v>3000</v>
      </c>
      <c r="W12" s="107"/>
      <c r="X12" s="110">
        <v>2000</v>
      </c>
      <c r="Y12" s="113">
        <v>2000</v>
      </c>
      <c r="Z12" s="75">
        <f t="shared" si="0"/>
        <v>12600</v>
      </c>
      <c r="AA12" s="138">
        <f t="shared" si="16"/>
        <v>50400</v>
      </c>
      <c r="AB12" s="138">
        <f t="shared" si="13"/>
        <v>25200</v>
      </c>
      <c r="AC12" s="138">
        <f t="shared" si="16"/>
        <v>50400</v>
      </c>
      <c r="AD12" s="138">
        <f t="shared" si="13"/>
        <v>25200</v>
      </c>
      <c r="AE12" s="138">
        <f t="shared" si="16"/>
        <v>50400</v>
      </c>
      <c r="AF12" s="138">
        <f t="shared" si="14"/>
        <v>50400</v>
      </c>
      <c r="AG12" s="139">
        <f t="shared" si="14"/>
        <v>50400</v>
      </c>
      <c r="AH12" s="75">
        <v>180000</v>
      </c>
      <c r="AI12" s="75">
        <v>360000</v>
      </c>
      <c r="AJ12" s="76">
        <v>60000</v>
      </c>
      <c r="AK12" s="140">
        <f t="shared" si="4"/>
        <v>25200</v>
      </c>
      <c r="AL12" s="138">
        <f t="shared" si="5"/>
        <v>25200</v>
      </c>
      <c r="AM12" s="75">
        <v>150000</v>
      </c>
      <c r="AN12" s="75">
        <v>60000</v>
      </c>
      <c r="AO12" s="138">
        <f t="shared" si="6"/>
        <v>75600</v>
      </c>
      <c r="AP12" s="138">
        <f t="shared" si="7"/>
        <v>50400</v>
      </c>
      <c r="AQ12" s="138">
        <f t="shared" si="8"/>
        <v>25200</v>
      </c>
    </row>
    <row r="13" spans="1:43" ht="14.25" x14ac:dyDescent="0.15">
      <c r="A13" s="343"/>
      <c r="B13" s="91" t="s">
        <v>998</v>
      </c>
      <c r="C13" s="42">
        <v>126000</v>
      </c>
      <c r="D13" s="42">
        <v>90000</v>
      </c>
      <c r="E13" s="42">
        <v>90000</v>
      </c>
      <c r="F13" s="42">
        <v>90000</v>
      </c>
      <c r="G13" s="42">
        <v>90000</v>
      </c>
      <c r="H13" s="42">
        <v>192000</v>
      </c>
      <c r="I13" s="42">
        <f t="shared" si="15"/>
        <v>230400</v>
      </c>
      <c r="J13" s="42" t="s">
        <v>1183</v>
      </c>
      <c r="K13" s="42"/>
      <c r="L13" s="42">
        <v>90000</v>
      </c>
      <c r="M13" s="46">
        <v>108000</v>
      </c>
      <c r="N13" s="46">
        <f t="shared" si="9"/>
        <v>129600</v>
      </c>
      <c r="O13" s="46">
        <f t="shared" si="10"/>
        <v>129600</v>
      </c>
      <c r="P13" s="46">
        <f t="shared" si="11"/>
        <v>151200</v>
      </c>
      <c r="Q13" s="46">
        <f t="shared" si="12"/>
        <v>10800</v>
      </c>
      <c r="R13" s="107"/>
      <c r="S13" s="77">
        <v>25000</v>
      </c>
      <c r="T13" s="110">
        <v>60000</v>
      </c>
      <c r="U13" s="110"/>
      <c r="V13" s="110">
        <v>3000</v>
      </c>
      <c r="W13" s="107"/>
      <c r="X13" s="110">
        <v>2000</v>
      </c>
      <c r="Y13" s="113">
        <v>2000</v>
      </c>
      <c r="Z13" s="75">
        <f t="shared" si="0"/>
        <v>12600</v>
      </c>
      <c r="AA13" s="138">
        <f t="shared" si="16"/>
        <v>50400</v>
      </c>
      <c r="AB13" s="138">
        <f t="shared" si="13"/>
        <v>25200</v>
      </c>
      <c r="AC13" s="138">
        <f t="shared" si="16"/>
        <v>50400</v>
      </c>
      <c r="AD13" s="138">
        <f t="shared" si="13"/>
        <v>25200</v>
      </c>
      <c r="AE13" s="138">
        <f t="shared" si="16"/>
        <v>50400</v>
      </c>
      <c r="AF13" s="138">
        <f t="shared" si="14"/>
        <v>50400</v>
      </c>
      <c r="AG13" s="139">
        <f t="shared" si="14"/>
        <v>50400</v>
      </c>
      <c r="AH13" s="75">
        <v>180000</v>
      </c>
      <c r="AI13" s="75">
        <v>360000</v>
      </c>
      <c r="AJ13" s="76">
        <v>60000</v>
      </c>
      <c r="AK13" s="140">
        <f t="shared" si="4"/>
        <v>25200</v>
      </c>
      <c r="AL13" s="138">
        <f t="shared" si="5"/>
        <v>25200</v>
      </c>
      <c r="AM13" s="75">
        <v>150000</v>
      </c>
      <c r="AN13" s="75">
        <v>60000</v>
      </c>
      <c r="AO13" s="138">
        <f t="shared" si="6"/>
        <v>75600</v>
      </c>
      <c r="AP13" s="138">
        <f t="shared" si="7"/>
        <v>50400</v>
      </c>
      <c r="AQ13" s="138">
        <f t="shared" si="8"/>
        <v>25200</v>
      </c>
    </row>
    <row r="14" spans="1:43" ht="14.25" x14ac:dyDescent="0.15">
      <c r="A14" s="343"/>
      <c r="B14" s="105" t="s">
        <v>68</v>
      </c>
      <c r="C14" s="42">
        <v>162000</v>
      </c>
      <c r="D14" s="42">
        <v>120000</v>
      </c>
      <c r="E14" s="42">
        <v>120000</v>
      </c>
      <c r="F14" s="42">
        <v>120000</v>
      </c>
      <c r="G14" s="42">
        <v>120000</v>
      </c>
      <c r="H14" s="42">
        <v>216000</v>
      </c>
      <c r="I14" s="42">
        <f t="shared" si="15"/>
        <v>259200</v>
      </c>
      <c r="J14" s="42" t="s">
        <v>1183</v>
      </c>
      <c r="K14" s="42"/>
      <c r="L14" s="42">
        <v>132000</v>
      </c>
      <c r="M14" s="46">
        <v>158000</v>
      </c>
      <c r="N14" s="46">
        <f t="shared" si="9"/>
        <v>189600</v>
      </c>
      <c r="O14" s="46">
        <f t="shared" si="10"/>
        <v>189600</v>
      </c>
      <c r="P14" s="46">
        <f t="shared" si="11"/>
        <v>221200</v>
      </c>
      <c r="Q14" s="46">
        <f t="shared" si="12"/>
        <v>15800</v>
      </c>
      <c r="R14" s="107"/>
      <c r="S14" s="77">
        <v>25000</v>
      </c>
      <c r="T14" s="110">
        <v>60000</v>
      </c>
      <c r="U14" s="110"/>
      <c r="V14" s="110">
        <v>3000</v>
      </c>
      <c r="W14" s="107"/>
      <c r="X14" s="110">
        <v>2000</v>
      </c>
      <c r="Y14" s="113">
        <v>2000</v>
      </c>
      <c r="Z14" s="75">
        <f t="shared" si="0"/>
        <v>16200</v>
      </c>
      <c r="AA14" s="138">
        <f t="shared" si="16"/>
        <v>64800</v>
      </c>
      <c r="AB14" s="138">
        <f t="shared" si="13"/>
        <v>32400</v>
      </c>
      <c r="AC14" s="138">
        <f t="shared" si="16"/>
        <v>64800</v>
      </c>
      <c r="AD14" s="138">
        <f t="shared" si="13"/>
        <v>32400</v>
      </c>
      <c r="AE14" s="138">
        <f t="shared" si="16"/>
        <v>64800</v>
      </c>
      <c r="AF14" s="138">
        <f t="shared" si="14"/>
        <v>64800</v>
      </c>
      <c r="AG14" s="139">
        <f t="shared" si="14"/>
        <v>64800</v>
      </c>
      <c r="AH14" s="78">
        <v>180000</v>
      </c>
      <c r="AI14" s="78">
        <v>360000</v>
      </c>
      <c r="AJ14" s="79">
        <v>60000</v>
      </c>
      <c r="AK14" s="140">
        <f t="shared" si="4"/>
        <v>32400</v>
      </c>
      <c r="AL14" s="138">
        <f t="shared" si="5"/>
        <v>32400</v>
      </c>
      <c r="AM14" s="75">
        <v>150000</v>
      </c>
      <c r="AN14" s="75">
        <v>60000</v>
      </c>
      <c r="AO14" s="138">
        <f t="shared" si="6"/>
        <v>97200</v>
      </c>
      <c r="AP14" s="138">
        <f t="shared" si="7"/>
        <v>64800</v>
      </c>
      <c r="AQ14" s="138">
        <f t="shared" si="8"/>
        <v>32400</v>
      </c>
    </row>
    <row r="15" spans="1:43" ht="14.25" x14ac:dyDescent="0.15">
      <c r="A15" s="343"/>
      <c r="B15" s="105" t="s">
        <v>69</v>
      </c>
      <c r="C15" s="42">
        <v>210000</v>
      </c>
      <c r="D15" s="42">
        <v>132000</v>
      </c>
      <c r="E15" s="42">
        <v>132000</v>
      </c>
      <c r="F15" s="42">
        <v>132000</v>
      </c>
      <c r="G15" s="42">
        <v>132000</v>
      </c>
      <c r="H15" s="42">
        <v>240000</v>
      </c>
      <c r="I15" s="42">
        <f t="shared" si="15"/>
        <v>288000</v>
      </c>
      <c r="J15" s="42" t="s">
        <v>1183</v>
      </c>
      <c r="K15" s="42"/>
      <c r="L15" s="42">
        <v>156000</v>
      </c>
      <c r="M15" s="46">
        <v>187000</v>
      </c>
      <c r="N15" s="46">
        <f t="shared" si="9"/>
        <v>224400</v>
      </c>
      <c r="O15" s="46">
        <f t="shared" si="10"/>
        <v>224400</v>
      </c>
      <c r="P15" s="46">
        <f t="shared" si="11"/>
        <v>261799.99999999997</v>
      </c>
      <c r="Q15" s="46">
        <f t="shared" si="12"/>
        <v>18700</v>
      </c>
      <c r="R15" s="107"/>
      <c r="S15" s="77">
        <v>25000</v>
      </c>
      <c r="T15" s="110">
        <v>60000</v>
      </c>
      <c r="U15" s="110"/>
      <c r="V15" s="110">
        <v>3000</v>
      </c>
      <c r="W15" s="107"/>
      <c r="X15" s="110">
        <v>2000</v>
      </c>
      <c r="Y15" s="113">
        <v>2000</v>
      </c>
      <c r="Z15" s="75">
        <f t="shared" si="0"/>
        <v>21000</v>
      </c>
      <c r="AA15" s="138">
        <f t="shared" si="16"/>
        <v>84000</v>
      </c>
      <c r="AB15" s="138">
        <f t="shared" si="13"/>
        <v>42000</v>
      </c>
      <c r="AC15" s="138">
        <f t="shared" si="16"/>
        <v>84000</v>
      </c>
      <c r="AD15" s="138">
        <f t="shared" si="13"/>
        <v>42000</v>
      </c>
      <c r="AE15" s="138">
        <f t="shared" si="16"/>
        <v>84000</v>
      </c>
      <c r="AF15" s="138">
        <f t="shared" si="14"/>
        <v>84000</v>
      </c>
      <c r="AG15" s="139">
        <f t="shared" si="14"/>
        <v>84000</v>
      </c>
      <c r="AH15" s="75">
        <v>180000</v>
      </c>
      <c r="AI15" s="75">
        <v>360000</v>
      </c>
      <c r="AJ15" s="76">
        <v>60000</v>
      </c>
      <c r="AK15" s="140">
        <f t="shared" si="4"/>
        <v>42000</v>
      </c>
      <c r="AL15" s="138">
        <f t="shared" si="5"/>
        <v>42000</v>
      </c>
      <c r="AM15" s="75">
        <v>150000</v>
      </c>
      <c r="AN15" s="75">
        <v>60000</v>
      </c>
      <c r="AO15" s="138">
        <f t="shared" si="6"/>
        <v>126000</v>
      </c>
      <c r="AP15" s="138">
        <f t="shared" si="7"/>
        <v>84000</v>
      </c>
      <c r="AQ15" s="138">
        <f t="shared" si="8"/>
        <v>42000</v>
      </c>
    </row>
    <row r="16" spans="1:43" ht="14.25" x14ac:dyDescent="0.15">
      <c r="A16" s="343"/>
      <c r="B16" s="105" t="s">
        <v>70</v>
      </c>
      <c r="C16" s="42">
        <v>252000</v>
      </c>
      <c r="D16" s="42">
        <v>174000</v>
      </c>
      <c r="E16" s="42">
        <v>174000</v>
      </c>
      <c r="F16" s="42">
        <v>174000</v>
      </c>
      <c r="G16" s="42">
        <v>174000</v>
      </c>
      <c r="H16" s="42">
        <v>264000</v>
      </c>
      <c r="I16" s="42">
        <f t="shared" si="15"/>
        <v>316800</v>
      </c>
      <c r="J16" s="42" t="s">
        <v>1183</v>
      </c>
      <c r="K16" s="42"/>
      <c r="L16" s="42">
        <v>216000</v>
      </c>
      <c r="M16" s="46">
        <v>259000</v>
      </c>
      <c r="N16" s="46">
        <f t="shared" si="9"/>
        <v>310800</v>
      </c>
      <c r="O16" s="46">
        <f t="shared" si="10"/>
        <v>310800</v>
      </c>
      <c r="P16" s="46">
        <f t="shared" si="11"/>
        <v>362600</v>
      </c>
      <c r="Q16" s="46">
        <f t="shared" si="12"/>
        <v>25900</v>
      </c>
      <c r="R16" s="107"/>
      <c r="S16" s="77">
        <v>25000</v>
      </c>
      <c r="T16" s="110">
        <v>60000</v>
      </c>
      <c r="U16" s="110"/>
      <c r="V16" s="110">
        <v>3000</v>
      </c>
      <c r="W16" s="107"/>
      <c r="X16" s="110">
        <v>2000</v>
      </c>
      <c r="Y16" s="113">
        <v>2000</v>
      </c>
      <c r="Z16" s="75">
        <f t="shared" si="0"/>
        <v>25200</v>
      </c>
      <c r="AA16" s="138">
        <f t="shared" si="16"/>
        <v>100800</v>
      </c>
      <c r="AB16" s="138">
        <f t="shared" si="13"/>
        <v>50400</v>
      </c>
      <c r="AC16" s="138">
        <f t="shared" si="16"/>
        <v>100800</v>
      </c>
      <c r="AD16" s="138">
        <f t="shared" si="13"/>
        <v>50400</v>
      </c>
      <c r="AE16" s="138">
        <f t="shared" si="16"/>
        <v>100800</v>
      </c>
      <c r="AF16" s="138">
        <f t="shared" si="14"/>
        <v>100800</v>
      </c>
      <c r="AG16" s="139">
        <f t="shared" si="14"/>
        <v>100800</v>
      </c>
      <c r="AH16" s="78">
        <v>180000</v>
      </c>
      <c r="AI16" s="78">
        <v>360000</v>
      </c>
      <c r="AJ16" s="79">
        <v>60000</v>
      </c>
      <c r="AK16" s="140">
        <f t="shared" si="4"/>
        <v>50400</v>
      </c>
      <c r="AL16" s="138">
        <f t="shared" si="5"/>
        <v>50400</v>
      </c>
      <c r="AM16" s="75">
        <v>150000</v>
      </c>
      <c r="AN16" s="75">
        <v>60000</v>
      </c>
      <c r="AO16" s="138">
        <f t="shared" si="6"/>
        <v>151200</v>
      </c>
      <c r="AP16" s="138">
        <f t="shared" si="7"/>
        <v>100800</v>
      </c>
      <c r="AQ16" s="138">
        <f t="shared" si="8"/>
        <v>50400</v>
      </c>
    </row>
    <row r="17" spans="1:43" ht="14.25" x14ac:dyDescent="0.15">
      <c r="A17" s="343"/>
      <c r="B17" s="105" t="s">
        <v>1143</v>
      </c>
      <c r="C17" s="42">
        <v>260000</v>
      </c>
      <c r="D17" s="42">
        <v>174000</v>
      </c>
      <c r="E17" s="42">
        <v>174000</v>
      </c>
      <c r="F17" s="42">
        <v>174000</v>
      </c>
      <c r="G17" s="42">
        <v>174000</v>
      </c>
      <c r="H17" s="42">
        <v>264000</v>
      </c>
      <c r="I17" s="42">
        <f t="shared" si="15"/>
        <v>316800</v>
      </c>
      <c r="J17" s="42" t="s">
        <v>1183</v>
      </c>
      <c r="K17" s="42"/>
      <c r="L17" s="42">
        <v>216000</v>
      </c>
      <c r="M17" s="46">
        <v>259000</v>
      </c>
      <c r="N17" s="46">
        <f t="shared" si="9"/>
        <v>310800</v>
      </c>
      <c r="O17" s="46">
        <f t="shared" si="10"/>
        <v>310800</v>
      </c>
      <c r="P17" s="46">
        <f t="shared" si="11"/>
        <v>362600</v>
      </c>
      <c r="Q17" s="46">
        <f t="shared" si="12"/>
        <v>25900</v>
      </c>
      <c r="R17" s="107"/>
      <c r="S17" s="77">
        <v>25000</v>
      </c>
      <c r="T17" s="110">
        <v>60000</v>
      </c>
      <c r="U17" s="110"/>
      <c r="V17" s="110">
        <v>3000</v>
      </c>
      <c r="W17" s="107"/>
      <c r="X17" s="110">
        <v>2000</v>
      </c>
      <c r="Y17" s="113">
        <v>2000</v>
      </c>
      <c r="Z17" s="75">
        <f t="shared" si="0"/>
        <v>26000</v>
      </c>
      <c r="AA17" s="138">
        <f t="shared" si="16"/>
        <v>104000</v>
      </c>
      <c r="AB17" s="138">
        <f t="shared" si="13"/>
        <v>52000</v>
      </c>
      <c r="AC17" s="138">
        <f t="shared" si="16"/>
        <v>104000</v>
      </c>
      <c r="AD17" s="138">
        <f t="shared" si="13"/>
        <v>52000</v>
      </c>
      <c r="AE17" s="138">
        <f t="shared" si="16"/>
        <v>104000</v>
      </c>
      <c r="AF17" s="138">
        <f t="shared" si="14"/>
        <v>104000</v>
      </c>
      <c r="AG17" s="139">
        <f t="shared" si="14"/>
        <v>104000</v>
      </c>
      <c r="AH17" s="78">
        <v>180000</v>
      </c>
      <c r="AI17" s="78">
        <v>360000</v>
      </c>
      <c r="AJ17" s="79">
        <v>60000</v>
      </c>
      <c r="AK17" s="140">
        <f t="shared" si="4"/>
        <v>52000</v>
      </c>
      <c r="AL17" s="138">
        <f t="shared" si="5"/>
        <v>52000</v>
      </c>
      <c r="AM17" s="75">
        <v>150000</v>
      </c>
      <c r="AN17" s="75">
        <v>60000</v>
      </c>
      <c r="AO17" s="138">
        <f t="shared" si="6"/>
        <v>156000</v>
      </c>
      <c r="AP17" s="138">
        <f t="shared" si="7"/>
        <v>104000</v>
      </c>
      <c r="AQ17" s="138">
        <f t="shared" si="8"/>
        <v>52000</v>
      </c>
    </row>
    <row r="18" spans="1:43" ht="14.25" x14ac:dyDescent="0.15">
      <c r="A18" s="343"/>
      <c r="B18" s="105" t="s">
        <v>71</v>
      </c>
      <c r="C18" s="42">
        <v>348000</v>
      </c>
      <c r="D18" s="42">
        <v>192000</v>
      </c>
      <c r="E18" s="42">
        <v>192000</v>
      </c>
      <c r="F18" s="42">
        <v>192000</v>
      </c>
      <c r="G18" s="42">
        <v>192000</v>
      </c>
      <c r="H18" s="42">
        <v>288000</v>
      </c>
      <c r="I18" s="42">
        <f t="shared" si="15"/>
        <v>345600</v>
      </c>
      <c r="J18" s="42" t="s">
        <v>1183</v>
      </c>
      <c r="K18" s="42"/>
      <c r="L18" s="42">
        <v>264000</v>
      </c>
      <c r="M18" s="46">
        <v>317000</v>
      </c>
      <c r="N18" s="46">
        <f t="shared" si="9"/>
        <v>380400</v>
      </c>
      <c r="O18" s="46">
        <f t="shared" si="10"/>
        <v>380400</v>
      </c>
      <c r="P18" s="46">
        <f t="shared" si="11"/>
        <v>443800</v>
      </c>
      <c r="Q18" s="46">
        <f t="shared" si="12"/>
        <v>31700</v>
      </c>
      <c r="R18" s="107"/>
      <c r="S18" s="77">
        <v>25000</v>
      </c>
      <c r="T18" s="110">
        <v>60000</v>
      </c>
      <c r="U18" s="110"/>
      <c r="V18" s="110">
        <v>3000</v>
      </c>
      <c r="W18" s="107"/>
      <c r="X18" s="110">
        <v>2000</v>
      </c>
      <c r="Y18" s="113">
        <v>2000</v>
      </c>
      <c r="Z18" s="75">
        <f t="shared" si="0"/>
        <v>34800</v>
      </c>
      <c r="AA18" s="138">
        <f t="shared" si="16"/>
        <v>139200</v>
      </c>
      <c r="AB18" s="138">
        <f t="shared" si="13"/>
        <v>69600</v>
      </c>
      <c r="AC18" s="138">
        <f t="shared" si="16"/>
        <v>139200</v>
      </c>
      <c r="AD18" s="138">
        <f t="shared" si="13"/>
        <v>69600</v>
      </c>
      <c r="AE18" s="138">
        <f t="shared" si="16"/>
        <v>139200</v>
      </c>
      <c r="AF18" s="138">
        <f t="shared" si="14"/>
        <v>139200</v>
      </c>
      <c r="AG18" s="139">
        <f t="shared" si="14"/>
        <v>139200</v>
      </c>
      <c r="AH18" s="75">
        <v>180000</v>
      </c>
      <c r="AI18" s="75">
        <v>360000</v>
      </c>
      <c r="AJ18" s="76">
        <v>60000</v>
      </c>
      <c r="AK18" s="140">
        <f t="shared" si="4"/>
        <v>69600</v>
      </c>
      <c r="AL18" s="138">
        <f t="shared" si="5"/>
        <v>69600</v>
      </c>
      <c r="AM18" s="75">
        <v>150000</v>
      </c>
      <c r="AN18" s="75">
        <v>60000</v>
      </c>
      <c r="AO18" s="138">
        <f t="shared" si="6"/>
        <v>208800</v>
      </c>
      <c r="AP18" s="138">
        <f t="shared" si="7"/>
        <v>139200</v>
      </c>
      <c r="AQ18" s="138">
        <f t="shared" si="8"/>
        <v>69600</v>
      </c>
    </row>
    <row r="19" spans="1:43" ht="14.25" x14ac:dyDescent="0.15">
      <c r="A19" s="343"/>
      <c r="B19" s="105" t="s">
        <v>1144</v>
      </c>
      <c r="C19" s="42">
        <v>350000</v>
      </c>
      <c r="D19" s="42">
        <v>192000</v>
      </c>
      <c r="E19" s="42">
        <v>192000</v>
      </c>
      <c r="F19" s="42">
        <v>192000</v>
      </c>
      <c r="G19" s="42">
        <v>192000</v>
      </c>
      <c r="H19" s="42">
        <v>288000</v>
      </c>
      <c r="I19" s="42">
        <f t="shared" si="15"/>
        <v>345600</v>
      </c>
      <c r="J19" s="42" t="s">
        <v>1183</v>
      </c>
      <c r="K19" s="42"/>
      <c r="L19" s="42">
        <v>264000</v>
      </c>
      <c r="M19" s="46">
        <v>317000</v>
      </c>
      <c r="N19" s="46">
        <f t="shared" si="9"/>
        <v>380400</v>
      </c>
      <c r="O19" s="46">
        <f t="shared" si="10"/>
        <v>380400</v>
      </c>
      <c r="P19" s="46">
        <f t="shared" si="11"/>
        <v>443800</v>
      </c>
      <c r="Q19" s="46">
        <f t="shared" si="12"/>
        <v>31700</v>
      </c>
      <c r="R19" s="107"/>
      <c r="S19" s="77">
        <v>25000</v>
      </c>
      <c r="T19" s="110">
        <v>60000</v>
      </c>
      <c r="U19" s="110"/>
      <c r="V19" s="110">
        <v>3000</v>
      </c>
      <c r="W19" s="107"/>
      <c r="X19" s="110">
        <v>2000</v>
      </c>
      <c r="Y19" s="113">
        <v>2000</v>
      </c>
      <c r="Z19" s="75">
        <f t="shared" si="0"/>
        <v>35000</v>
      </c>
      <c r="AA19" s="138">
        <f t="shared" si="16"/>
        <v>140000</v>
      </c>
      <c r="AB19" s="138">
        <f t="shared" si="13"/>
        <v>70000</v>
      </c>
      <c r="AC19" s="138">
        <f t="shared" si="16"/>
        <v>140000</v>
      </c>
      <c r="AD19" s="138">
        <f t="shared" si="13"/>
        <v>70000</v>
      </c>
      <c r="AE19" s="138">
        <f t="shared" si="16"/>
        <v>140000</v>
      </c>
      <c r="AF19" s="138">
        <f t="shared" si="14"/>
        <v>140000</v>
      </c>
      <c r="AG19" s="139">
        <f t="shared" si="14"/>
        <v>140000</v>
      </c>
      <c r="AH19" s="75">
        <v>180000</v>
      </c>
      <c r="AI19" s="75">
        <v>360000</v>
      </c>
      <c r="AJ19" s="76">
        <v>60000</v>
      </c>
      <c r="AK19" s="140">
        <f t="shared" si="4"/>
        <v>70000</v>
      </c>
      <c r="AL19" s="138">
        <f t="shared" si="5"/>
        <v>70000</v>
      </c>
      <c r="AM19" s="75">
        <v>150000</v>
      </c>
      <c r="AN19" s="75">
        <v>60000</v>
      </c>
      <c r="AO19" s="138">
        <f t="shared" si="6"/>
        <v>210000</v>
      </c>
      <c r="AP19" s="138">
        <f t="shared" si="7"/>
        <v>140000</v>
      </c>
      <c r="AQ19" s="138">
        <f t="shared" si="8"/>
        <v>70000</v>
      </c>
    </row>
    <row r="20" spans="1:43" ht="14.25" x14ac:dyDescent="0.15">
      <c r="A20" s="343"/>
      <c r="B20" s="105" t="s">
        <v>72</v>
      </c>
      <c r="C20" s="42">
        <v>420000</v>
      </c>
      <c r="D20" s="42">
        <v>224000</v>
      </c>
      <c r="E20" s="42">
        <v>224000</v>
      </c>
      <c r="F20" s="42">
        <v>224000</v>
      </c>
      <c r="G20" s="42">
        <v>224000</v>
      </c>
      <c r="H20" s="42">
        <v>312000</v>
      </c>
      <c r="I20" s="42">
        <f t="shared" si="15"/>
        <v>374400</v>
      </c>
      <c r="J20" s="42" t="s">
        <v>1183</v>
      </c>
      <c r="K20" s="42"/>
      <c r="L20" s="42">
        <v>300000</v>
      </c>
      <c r="M20" s="46">
        <v>360000</v>
      </c>
      <c r="N20" s="46">
        <f t="shared" si="9"/>
        <v>432000</v>
      </c>
      <c r="O20" s="46">
        <f t="shared" si="10"/>
        <v>432000</v>
      </c>
      <c r="P20" s="46">
        <f t="shared" si="11"/>
        <v>503999.99999999994</v>
      </c>
      <c r="Q20" s="46">
        <f t="shared" si="12"/>
        <v>36000</v>
      </c>
      <c r="R20" s="107"/>
      <c r="S20" s="77">
        <v>25000</v>
      </c>
      <c r="T20" s="110">
        <v>60000</v>
      </c>
      <c r="U20" s="110"/>
      <c r="V20" s="110">
        <v>3000</v>
      </c>
      <c r="W20" s="107"/>
      <c r="X20" s="110">
        <v>2000</v>
      </c>
      <c r="Y20" s="113">
        <v>2000</v>
      </c>
      <c r="Z20" s="75">
        <f t="shared" si="0"/>
        <v>42000</v>
      </c>
      <c r="AA20" s="138">
        <f t="shared" si="16"/>
        <v>168000</v>
      </c>
      <c r="AB20" s="138">
        <f t="shared" si="13"/>
        <v>84000</v>
      </c>
      <c r="AC20" s="138">
        <f t="shared" si="16"/>
        <v>168000</v>
      </c>
      <c r="AD20" s="138">
        <f t="shared" si="13"/>
        <v>84000</v>
      </c>
      <c r="AE20" s="138">
        <f t="shared" si="16"/>
        <v>168000</v>
      </c>
      <c r="AF20" s="138">
        <f t="shared" si="14"/>
        <v>168000</v>
      </c>
      <c r="AG20" s="139">
        <f t="shared" si="14"/>
        <v>168000</v>
      </c>
      <c r="AH20" s="78">
        <v>180000</v>
      </c>
      <c r="AI20" s="78">
        <v>360000</v>
      </c>
      <c r="AJ20" s="79">
        <v>60000</v>
      </c>
      <c r="AK20" s="140">
        <f t="shared" si="4"/>
        <v>84000</v>
      </c>
      <c r="AL20" s="138">
        <f t="shared" si="5"/>
        <v>84000</v>
      </c>
      <c r="AM20" s="75">
        <v>150000</v>
      </c>
      <c r="AN20" s="75">
        <v>60000</v>
      </c>
      <c r="AO20" s="138">
        <f t="shared" si="6"/>
        <v>252000</v>
      </c>
      <c r="AP20" s="138">
        <f t="shared" si="7"/>
        <v>168000</v>
      </c>
      <c r="AQ20" s="138">
        <f t="shared" si="8"/>
        <v>84000</v>
      </c>
    </row>
    <row r="21" spans="1:43" ht="14.25" x14ac:dyDescent="0.15">
      <c r="A21" s="343"/>
      <c r="B21" s="105" t="s">
        <v>73</v>
      </c>
      <c r="C21" s="42">
        <v>480000</v>
      </c>
      <c r="D21" s="42">
        <v>264000</v>
      </c>
      <c r="E21" s="42">
        <v>264000</v>
      </c>
      <c r="F21" s="42">
        <v>264000</v>
      </c>
      <c r="G21" s="42">
        <v>264000</v>
      </c>
      <c r="H21" s="42">
        <v>348000</v>
      </c>
      <c r="I21" s="42">
        <f t="shared" si="15"/>
        <v>417600</v>
      </c>
      <c r="J21" s="42" t="s">
        <v>1183</v>
      </c>
      <c r="K21" s="42"/>
      <c r="L21" s="42">
        <v>360000</v>
      </c>
      <c r="M21" s="46">
        <v>432000</v>
      </c>
      <c r="N21" s="46">
        <f t="shared" si="9"/>
        <v>518400</v>
      </c>
      <c r="O21" s="46">
        <f t="shared" si="10"/>
        <v>518400</v>
      </c>
      <c r="P21" s="46">
        <f t="shared" si="11"/>
        <v>604800</v>
      </c>
      <c r="Q21" s="46">
        <f t="shared" si="12"/>
        <v>43200</v>
      </c>
      <c r="R21" s="107"/>
      <c r="S21" s="77">
        <v>25000</v>
      </c>
      <c r="T21" s="110">
        <v>60000</v>
      </c>
      <c r="U21" s="110"/>
      <c r="V21" s="110">
        <v>3000</v>
      </c>
      <c r="W21" s="107"/>
      <c r="X21" s="110">
        <v>2000</v>
      </c>
      <c r="Y21" s="113">
        <v>2000</v>
      </c>
      <c r="Z21" s="75">
        <f t="shared" si="0"/>
        <v>48000</v>
      </c>
      <c r="AA21" s="138">
        <f t="shared" si="16"/>
        <v>192000</v>
      </c>
      <c r="AB21" s="138">
        <f t="shared" si="13"/>
        <v>96000</v>
      </c>
      <c r="AC21" s="138">
        <f t="shared" si="16"/>
        <v>192000</v>
      </c>
      <c r="AD21" s="138">
        <f t="shared" si="13"/>
        <v>96000</v>
      </c>
      <c r="AE21" s="138">
        <f t="shared" si="16"/>
        <v>192000</v>
      </c>
      <c r="AF21" s="138">
        <f t="shared" si="14"/>
        <v>192000</v>
      </c>
      <c r="AG21" s="139">
        <f t="shared" si="14"/>
        <v>192000</v>
      </c>
      <c r="AH21" s="75">
        <v>180000</v>
      </c>
      <c r="AI21" s="75">
        <v>360000</v>
      </c>
      <c r="AJ21" s="76">
        <v>60000</v>
      </c>
      <c r="AK21" s="140">
        <f t="shared" si="4"/>
        <v>96000</v>
      </c>
      <c r="AL21" s="138">
        <f t="shared" si="5"/>
        <v>96000</v>
      </c>
      <c r="AM21" s="75">
        <v>150000</v>
      </c>
      <c r="AN21" s="75">
        <v>60000</v>
      </c>
      <c r="AO21" s="138">
        <f t="shared" si="6"/>
        <v>288000</v>
      </c>
      <c r="AP21" s="138">
        <f t="shared" si="7"/>
        <v>192000</v>
      </c>
      <c r="AQ21" s="138">
        <f t="shared" si="8"/>
        <v>96000</v>
      </c>
    </row>
    <row r="22" spans="1:43" ht="14.25" x14ac:dyDescent="0.15">
      <c r="A22" s="343"/>
      <c r="B22" s="105" t="s">
        <v>74</v>
      </c>
      <c r="C22" s="42">
        <v>540000</v>
      </c>
      <c r="D22" s="42">
        <v>318000</v>
      </c>
      <c r="E22" s="42">
        <v>318000</v>
      </c>
      <c r="F22" s="42">
        <v>318000</v>
      </c>
      <c r="G22" s="42">
        <v>318000</v>
      </c>
      <c r="H22" s="42">
        <v>384000</v>
      </c>
      <c r="I22" s="42">
        <f t="shared" si="15"/>
        <v>460800</v>
      </c>
      <c r="J22" s="42" t="s">
        <v>1183</v>
      </c>
      <c r="K22" s="42"/>
      <c r="L22" s="42">
        <v>420000</v>
      </c>
      <c r="M22" s="46">
        <v>504000</v>
      </c>
      <c r="N22" s="46">
        <f t="shared" si="9"/>
        <v>604800</v>
      </c>
      <c r="O22" s="46">
        <f t="shared" si="10"/>
        <v>604800</v>
      </c>
      <c r="P22" s="46">
        <f t="shared" si="11"/>
        <v>705600</v>
      </c>
      <c r="Q22" s="46">
        <f t="shared" si="12"/>
        <v>50400</v>
      </c>
      <c r="R22" s="107"/>
      <c r="S22" s="77">
        <v>25000</v>
      </c>
      <c r="T22" s="110">
        <v>60000</v>
      </c>
      <c r="U22" s="110"/>
      <c r="V22" s="110">
        <v>3000</v>
      </c>
      <c r="W22" s="107"/>
      <c r="X22" s="110">
        <v>2000</v>
      </c>
      <c r="Y22" s="113">
        <v>2000</v>
      </c>
      <c r="Z22" s="75">
        <f t="shared" si="0"/>
        <v>54000</v>
      </c>
      <c r="AA22" s="138">
        <f t="shared" si="16"/>
        <v>216000</v>
      </c>
      <c r="AB22" s="138">
        <f t="shared" si="13"/>
        <v>108000</v>
      </c>
      <c r="AC22" s="138">
        <f t="shared" si="16"/>
        <v>216000</v>
      </c>
      <c r="AD22" s="138">
        <f t="shared" si="13"/>
        <v>108000</v>
      </c>
      <c r="AE22" s="138">
        <f t="shared" si="16"/>
        <v>216000</v>
      </c>
      <c r="AF22" s="138">
        <f t="shared" si="14"/>
        <v>216000</v>
      </c>
      <c r="AG22" s="139">
        <f t="shared" si="14"/>
        <v>216000</v>
      </c>
      <c r="AH22" s="78">
        <v>180000</v>
      </c>
      <c r="AI22" s="78">
        <v>360000</v>
      </c>
      <c r="AJ22" s="79">
        <v>60000</v>
      </c>
      <c r="AK22" s="140">
        <f t="shared" si="4"/>
        <v>108000</v>
      </c>
      <c r="AL22" s="138">
        <f t="shared" si="5"/>
        <v>108000</v>
      </c>
      <c r="AM22" s="75">
        <v>150000</v>
      </c>
      <c r="AN22" s="75">
        <v>60000</v>
      </c>
      <c r="AO22" s="138">
        <f t="shared" si="6"/>
        <v>324000</v>
      </c>
      <c r="AP22" s="138">
        <f t="shared" si="7"/>
        <v>216000</v>
      </c>
      <c r="AQ22" s="138">
        <f t="shared" si="8"/>
        <v>108000</v>
      </c>
    </row>
    <row r="23" spans="1:43" ht="14.25" x14ac:dyDescent="0.15">
      <c r="A23" s="343"/>
      <c r="B23" s="105" t="s">
        <v>75</v>
      </c>
      <c r="C23" s="42">
        <v>600000</v>
      </c>
      <c r="D23" s="42">
        <v>330000</v>
      </c>
      <c r="E23" s="42">
        <v>330000</v>
      </c>
      <c r="F23" s="42">
        <v>330000</v>
      </c>
      <c r="G23" s="42">
        <v>330000</v>
      </c>
      <c r="H23" s="42">
        <v>420000</v>
      </c>
      <c r="I23" s="42">
        <f t="shared" si="15"/>
        <v>504000</v>
      </c>
      <c r="J23" s="42" t="s">
        <v>1183</v>
      </c>
      <c r="K23" s="42"/>
      <c r="L23" s="42">
        <v>480000</v>
      </c>
      <c r="M23" s="46">
        <v>576000</v>
      </c>
      <c r="N23" s="46">
        <f t="shared" si="9"/>
        <v>691200</v>
      </c>
      <c r="O23" s="46">
        <f t="shared" si="10"/>
        <v>691200</v>
      </c>
      <c r="P23" s="46">
        <f t="shared" si="11"/>
        <v>806400</v>
      </c>
      <c r="Q23" s="46">
        <f t="shared" si="12"/>
        <v>57600</v>
      </c>
      <c r="R23" s="107"/>
      <c r="S23" s="77">
        <v>25000</v>
      </c>
      <c r="T23" s="110">
        <v>60000</v>
      </c>
      <c r="U23" s="110"/>
      <c r="V23" s="110">
        <v>3000</v>
      </c>
      <c r="W23" s="107"/>
      <c r="X23" s="110">
        <v>2000</v>
      </c>
      <c r="Y23" s="113">
        <v>2000</v>
      </c>
      <c r="Z23" s="75">
        <f t="shared" si="0"/>
        <v>60000</v>
      </c>
      <c r="AA23" s="138">
        <f t="shared" si="16"/>
        <v>240000</v>
      </c>
      <c r="AB23" s="138">
        <f t="shared" si="13"/>
        <v>120000</v>
      </c>
      <c r="AC23" s="138">
        <f t="shared" si="16"/>
        <v>240000</v>
      </c>
      <c r="AD23" s="138">
        <f t="shared" si="13"/>
        <v>120000</v>
      </c>
      <c r="AE23" s="138">
        <f t="shared" si="16"/>
        <v>240000</v>
      </c>
      <c r="AF23" s="138">
        <f t="shared" si="14"/>
        <v>240000</v>
      </c>
      <c r="AG23" s="139">
        <f t="shared" si="14"/>
        <v>240000</v>
      </c>
      <c r="AH23" s="75">
        <v>180000</v>
      </c>
      <c r="AI23" s="75">
        <v>360000</v>
      </c>
      <c r="AJ23" s="76">
        <v>60000</v>
      </c>
      <c r="AK23" s="140">
        <f t="shared" si="4"/>
        <v>120000</v>
      </c>
      <c r="AL23" s="138">
        <f t="shared" si="5"/>
        <v>120000</v>
      </c>
      <c r="AM23" s="75">
        <v>150000</v>
      </c>
      <c r="AN23" s="75">
        <v>60000</v>
      </c>
      <c r="AO23" s="138">
        <f t="shared" si="6"/>
        <v>360000</v>
      </c>
      <c r="AP23" s="138">
        <f t="shared" si="7"/>
        <v>240000</v>
      </c>
      <c r="AQ23" s="138">
        <f t="shared" si="8"/>
        <v>120000</v>
      </c>
    </row>
    <row r="24" spans="1:43" ht="14.25" x14ac:dyDescent="0.15">
      <c r="A24" s="343"/>
      <c r="B24" s="105" t="s">
        <v>76</v>
      </c>
      <c r="C24" s="42">
        <v>720000</v>
      </c>
      <c r="D24" s="42">
        <v>384000</v>
      </c>
      <c r="E24" s="42">
        <v>384000</v>
      </c>
      <c r="F24" s="42">
        <v>384000</v>
      </c>
      <c r="G24" s="42">
        <v>384000</v>
      </c>
      <c r="H24" s="42">
        <v>456000</v>
      </c>
      <c r="I24" s="42">
        <f t="shared" si="15"/>
        <v>547200</v>
      </c>
      <c r="J24" s="42" t="s">
        <v>1183</v>
      </c>
      <c r="K24" s="42"/>
      <c r="L24" s="42">
        <v>540000</v>
      </c>
      <c r="M24" s="46">
        <v>648000</v>
      </c>
      <c r="N24" s="46">
        <f t="shared" si="9"/>
        <v>777600</v>
      </c>
      <c r="O24" s="46">
        <f t="shared" si="10"/>
        <v>777600</v>
      </c>
      <c r="P24" s="46">
        <f t="shared" si="11"/>
        <v>907200</v>
      </c>
      <c r="Q24" s="46">
        <f t="shared" si="12"/>
        <v>64800</v>
      </c>
      <c r="R24" s="107"/>
      <c r="S24" s="77">
        <v>25000</v>
      </c>
      <c r="T24" s="110">
        <v>60000</v>
      </c>
      <c r="U24" s="110"/>
      <c r="V24" s="110">
        <v>3000</v>
      </c>
      <c r="W24" s="107"/>
      <c r="X24" s="110">
        <v>2000</v>
      </c>
      <c r="Y24" s="113">
        <v>2000</v>
      </c>
      <c r="Z24" s="75">
        <f t="shared" si="0"/>
        <v>72000</v>
      </c>
      <c r="AA24" s="138">
        <f t="shared" si="16"/>
        <v>288000</v>
      </c>
      <c r="AB24" s="138">
        <f t="shared" si="13"/>
        <v>144000</v>
      </c>
      <c r="AC24" s="138">
        <f t="shared" si="16"/>
        <v>288000</v>
      </c>
      <c r="AD24" s="138">
        <f t="shared" si="13"/>
        <v>144000</v>
      </c>
      <c r="AE24" s="138">
        <f t="shared" si="16"/>
        <v>288000</v>
      </c>
      <c r="AF24" s="138">
        <f t="shared" si="14"/>
        <v>288000</v>
      </c>
      <c r="AG24" s="139">
        <f t="shared" si="14"/>
        <v>288000</v>
      </c>
      <c r="AH24" s="78">
        <v>180000</v>
      </c>
      <c r="AI24" s="78">
        <v>360000</v>
      </c>
      <c r="AJ24" s="79">
        <v>60000</v>
      </c>
      <c r="AK24" s="140">
        <f t="shared" si="4"/>
        <v>144000</v>
      </c>
      <c r="AL24" s="138">
        <f t="shared" si="5"/>
        <v>144000</v>
      </c>
      <c r="AM24" s="75">
        <v>150000</v>
      </c>
      <c r="AN24" s="75">
        <v>60000</v>
      </c>
      <c r="AO24" s="138">
        <f t="shared" si="6"/>
        <v>432000</v>
      </c>
      <c r="AP24" s="138">
        <f t="shared" si="7"/>
        <v>288000</v>
      </c>
      <c r="AQ24" s="138">
        <f t="shared" si="8"/>
        <v>144000</v>
      </c>
    </row>
    <row r="25" spans="1:43" ht="14.25" x14ac:dyDescent="0.15">
      <c r="A25" s="343"/>
      <c r="B25" s="105" t="s">
        <v>937</v>
      </c>
      <c r="C25" s="42">
        <v>840000</v>
      </c>
      <c r="D25" s="42">
        <v>420000</v>
      </c>
      <c r="E25" s="42">
        <v>420000</v>
      </c>
      <c r="F25" s="42">
        <v>420000</v>
      </c>
      <c r="G25" s="42">
        <v>420000</v>
      </c>
      <c r="H25" s="44">
        <v>492000</v>
      </c>
      <c r="I25" s="44">
        <f t="shared" si="15"/>
        <v>590400</v>
      </c>
      <c r="J25" s="42" t="s">
        <v>1183</v>
      </c>
      <c r="K25" s="42"/>
      <c r="L25" s="42">
        <v>600000</v>
      </c>
      <c r="M25" s="46">
        <v>720000</v>
      </c>
      <c r="N25" s="46">
        <f t="shared" si="9"/>
        <v>864000</v>
      </c>
      <c r="O25" s="46">
        <f t="shared" si="10"/>
        <v>864000</v>
      </c>
      <c r="P25" s="46">
        <f t="shared" si="11"/>
        <v>1007999.9999999999</v>
      </c>
      <c r="Q25" s="46">
        <f t="shared" si="12"/>
        <v>72000</v>
      </c>
      <c r="R25" s="107"/>
      <c r="S25" s="77">
        <v>25000</v>
      </c>
      <c r="T25" s="110">
        <v>60000</v>
      </c>
      <c r="U25" s="110"/>
      <c r="V25" s="110">
        <v>3000</v>
      </c>
      <c r="W25" s="107"/>
      <c r="X25" s="110">
        <v>2000</v>
      </c>
      <c r="Y25" s="113">
        <v>2000</v>
      </c>
      <c r="Z25" s="75">
        <f t="shared" si="0"/>
        <v>84000</v>
      </c>
      <c r="AA25" s="138">
        <f t="shared" si="16"/>
        <v>336000</v>
      </c>
      <c r="AB25" s="138">
        <f t="shared" si="13"/>
        <v>168000</v>
      </c>
      <c r="AC25" s="138">
        <f t="shared" si="16"/>
        <v>336000</v>
      </c>
      <c r="AD25" s="138">
        <f t="shared" si="13"/>
        <v>168000</v>
      </c>
      <c r="AE25" s="138">
        <f t="shared" si="16"/>
        <v>336000</v>
      </c>
      <c r="AF25" s="138">
        <f t="shared" si="14"/>
        <v>336000</v>
      </c>
      <c r="AG25" s="139">
        <f t="shared" si="14"/>
        <v>336000</v>
      </c>
      <c r="AH25" s="75">
        <v>180000</v>
      </c>
      <c r="AI25" s="75">
        <v>360000</v>
      </c>
      <c r="AJ25" s="76">
        <v>60000</v>
      </c>
      <c r="AK25" s="140">
        <f t="shared" si="4"/>
        <v>168000</v>
      </c>
      <c r="AL25" s="138">
        <f t="shared" si="5"/>
        <v>168000</v>
      </c>
      <c r="AM25" s="75">
        <v>150000</v>
      </c>
      <c r="AN25" s="75">
        <v>60000</v>
      </c>
      <c r="AO25" s="138">
        <f t="shared" si="6"/>
        <v>504000</v>
      </c>
      <c r="AP25" s="138">
        <f t="shared" si="7"/>
        <v>336000</v>
      </c>
      <c r="AQ25" s="138">
        <f t="shared" si="8"/>
        <v>168000</v>
      </c>
    </row>
    <row r="26" spans="1:43" ht="14.25" x14ac:dyDescent="0.15">
      <c r="A26" s="343"/>
      <c r="B26" s="105" t="s">
        <v>938</v>
      </c>
      <c r="C26" s="42">
        <v>840000</v>
      </c>
      <c r="D26" s="42">
        <v>420000</v>
      </c>
      <c r="E26" s="42">
        <v>420000</v>
      </c>
      <c r="F26" s="42">
        <v>420000</v>
      </c>
      <c r="G26" s="42">
        <v>420000</v>
      </c>
      <c r="H26" s="44">
        <v>492000</v>
      </c>
      <c r="I26" s="44">
        <f t="shared" si="15"/>
        <v>590400</v>
      </c>
      <c r="J26" s="42" t="s">
        <v>1183</v>
      </c>
      <c r="K26" s="42"/>
      <c r="L26" s="42">
        <v>600000</v>
      </c>
      <c r="M26" s="46">
        <v>720000</v>
      </c>
      <c r="N26" s="46">
        <f t="shared" si="9"/>
        <v>864000</v>
      </c>
      <c r="O26" s="46">
        <f t="shared" si="10"/>
        <v>864000</v>
      </c>
      <c r="P26" s="46">
        <f t="shared" si="11"/>
        <v>1007999.9999999999</v>
      </c>
      <c r="Q26" s="46">
        <f t="shared" si="12"/>
        <v>72000</v>
      </c>
      <c r="R26" s="107"/>
      <c r="S26" s="77">
        <v>25000</v>
      </c>
      <c r="T26" s="110">
        <v>60000</v>
      </c>
      <c r="U26" s="110"/>
      <c r="V26" s="110">
        <v>3000</v>
      </c>
      <c r="W26" s="107"/>
      <c r="X26" s="110">
        <v>2000</v>
      </c>
      <c r="Y26" s="113">
        <v>2000</v>
      </c>
      <c r="Z26" s="75">
        <f t="shared" si="0"/>
        <v>84000</v>
      </c>
      <c r="AA26" s="138">
        <f t="shared" si="16"/>
        <v>336000</v>
      </c>
      <c r="AB26" s="138">
        <f t="shared" si="13"/>
        <v>168000</v>
      </c>
      <c r="AC26" s="138">
        <f t="shared" si="16"/>
        <v>336000</v>
      </c>
      <c r="AD26" s="138">
        <f t="shared" si="13"/>
        <v>168000</v>
      </c>
      <c r="AE26" s="138">
        <f t="shared" si="16"/>
        <v>336000</v>
      </c>
      <c r="AF26" s="138">
        <f t="shared" si="14"/>
        <v>336000</v>
      </c>
      <c r="AG26" s="139">
        <f t="shared" si="14"/>
        <v>336000</v>
      </c>
      <c r="AH26" s="75">
        <v>180000</v>
      </c>
      <c r="AI26" s="75">
        <v>360000</v>
      </c>
      <c r="AJ26" s="76">
        <v>60000</v>
      </c>
      <c r="AK26" s="140">
        <f t="shared" si="4"/>
        <v>168000</v>
      </c>
      <c r="AL26" s="138">
        <f t="shared" si="5"/>
        <v>168000</v>
      </c>
      <c r="AM26" s="75">
        <v>150000</v>
      </c>
      <c r="AN26" s="75">
        <v>60000</v>
      </c>
      <c r="AO26" s="138">
        <f t="shared" si="6"/>
        <v>504000</v>
      </c>
      <c r="AP26" s="138">
        <f t="shared" si="7"/>
        <v>336000</v>
      </c>
      <c r="AQ26" s="138">
        <f t="shared" si="8"/>
        <v>168000</v>
      </c>
    </row>
    <row r="27" spans="1:43" ht="14.25" x14ac:dyDescent="0.15">
      <c r="A27" s="343"/>
      <c r="B27" s="105" t="s">
        <v>77</v>
      </c>
      <c r="C27" s="42">
        <v>960000</v>
      </c>
      <c r="D27" s="42">
        <v>504000</v>
      </c>
      <c r="E27" s="42">
        <v>504000</v>
      </c>
      <c r="F27" s="42">
        <v>504000</v>
      </c>
      <c r="G27" s="42">
        <v>504000</v>
      </c>
      <c r="H27" s="44">
        <v>660000</v>
      </c>
      <c r="I27" s="44">
        <f t="shared" si="15"/>
        <v>792000</v>
      </c>
      <c r="J27" s="42" t="s">
        <v>1183</v>
      </c>
      <c r="K27" s="42"/>
      <c r="L27" s="42">
        <v>720000</v>
      </c>
      <c r="M27" s="46">
        <v>864000</v>
      </c>
      <c r="N27" s="46">
        <f t="shared" si="9"/>
        <v>1036800</v>
      </c>
      <c r="O27" s="46">
        <f t="shared" si="10"/>
        <v>1036800</v>
      </c>
      <c r="P27" s="46">
        <f t="shared" si="11"/>
        <v>1209600</v>
      </c>
      <c r="Q27" s="46">
        <f t="shared" si="12"/>
        <v>86400</v>
      </c>
      <c r="R27" s="107"/>
      <c r="S27" s="77">
        <v>25000</v>
      </c>
      <c r="T27" s="110">
        <v>60000</v>
      </c>
      <c r="U27" s="110"/>
      <c r="V27" s="110">
        <v>3000</v>
      </c>
      <c r="W27" s="107"/>
      <c r="X27" s="110">
        <v>2000</v>
      </c>
      <c r="Y27" s="113">
        <v>2000</v>
      </c>
      <c r="Z27" s="75">
        <f t="shared" si="0"/>
        <v>96000</v>
      </c>
      <c r="AA27" s="138">
        <f t="shared" si="16"/>
        <v>384000</v>
      </c>
      <c r="AB27" s="138">
        <f t="shared" si="13"/>
        <v>192000</v>
      </c>
      <c r="AC27" s="138">
        <f t="shared" si="16"/>
        <v>384000</v>
      </c>
      <c r="AD27" s="138">
        <f t="shared" si="13"/>
        <v>192000</v>
      </c>
      <c r="AE27" s="138">
        <f t="shared" si="16"/>
        <v>384000</v>
      </c>
      <c r="AF27" s="138">
        <f t="shared" si="14"/>
        <v>384000</v>
      </c>
      <c r="AG27" s="139">
        <f t="shared" si="14"/>
        <v>384000</v>
      </c>
      <c r="AH27" s="78">
        <v>180000</v>
      </c>
      <c r="AI27" s="78">
        <v>360000</v>
      </c>
      <c r="AJ27" s="79">
        <v>60000</v>
      </c>
      <c r="AK27" s="140">
        <f t="shared" si="4"/>
        <v>192000</v>
      </c>
      <c r="AL27" s="138">
        <f t="shared" si="5"/>
        <v>192000</v>
      </c>
      <c r="AM27" s="75">
        <v>150000</v>
      </c>
      <c r="AN27" s="75">
        <v>60000</v>
      </c>
      <c r="AO27" s="138">
        <f t="shared" si="6"/>
        <v>576000</v>
      </c>
      <c r="AP27" s="138">
        <f t="shared" si="7"/>
        <v>384000</v>
      </c>
      <c r="AQ27" s="138">
        <f t="shared" si="8"/>
        <v>192000</v>
      </c>
    </row>
    <row r="28" spans="1:43" ht="14.25" x14ac:dyDescent="0.15">
      <c r="A28" s="343"/>
      <c r="B28" s="105" t="s">
        <v>78</v>
      </c>
      <c r="C28" s="42">
        <v>1080000</v>
      </c>
      <c r="D28" s="42">
        <v>576000</v>
      </c>
      <c r="E28" s="42">
        <v>576000</v>
      </c>
      <c r="F28" s="42">
        <v>576000</v>
      </c>
      <c r="G28" s="42">
        <v>576000</v>
      </c>
      <c r="H28" s="44">
        <v>739000</v>
      </c>
      <c r="I28" s="44">
        <f t="shared" si="15"/>
        <v>886800</v>
      </c>
      <c r="J28" s="42" t="s">
        <v>1183</v>
      </c>
      <c r="K28" s="42"/>
      <c r="L28" s="42">
        <v>840000</v>
      </c>
      <c r="M28" s="46">
        <v>1008000</v>
      </c>
      <c r="N28" s="46">
        <f t="shared" si="9"/>
        <v>1209600</v>
      </c>
      <c r="O28" s="46">
        <f t="shared" si="10"/>
        <v>1209600</v>
      </c>
      <c r="P28" s="46">
        <f t="shared" si="11"/>
        <v>1411200</v>
      </c>
      <c r="Q28" s="46">
        <f t="shared" si="12"/>
        <v>100800</v>
      </c>
      <c r="R28" s="107"/>
      <c r="S28" s="77">
        <v>25000</v>
      </c>
      <c r="T28" s="110">
        <v>60000</v>
      </c>
      <c r="U28" s="110"/>
      <c r="V28" s="110">
        <v>3000</v>
      </c>
      <c r="W28" s="107"/>
      <c r="X28" s="110">
        <v>2000</v>
      </c>
      <c r="Y28" s="113">
        <v>2000</v>
      </c>
      <c r="Z28" s="75">
        <f t="shared" si="0"/>
        <v>108000</v>
      </c>
      <c r="AA28" s="138">
        <f t="shared" si="16"/>
        <v>432000</v>
      </c>
      <c r="AB28" s="138">
        <f t="shared" si="13"/>
        <v>216000</v>
      </c>
      <c r="AC28" s="138">
        <f t="shared" si="16"/>
        <v>432000</v>
      </c>
      <c r="AD28" s="138">
        <f t="shared" si="13"/>
        <v>216000</v>
      </c>
      <c r="AE28" s="138">
        <f t="shared" si="16"/>
        <v>432000</v>
      </c>
      <c r="AF28" s="138">
        <f t="shared" si="14"/>
        <v>432000</v>
      </c>
      <c r="AG28" s="139">
        <f t="shared" si="14"/>
        <v>432000</v>
      </c>
      <c r="AH28" s="75">
        <v>180000</v>
      </c>
      <c r="AI28" s="75">
        <v>360000</v>
      </c>
      <c r="AJ28" s="76">
        <v>60000</v>
      </c>
      <c r="AK28" s="140">
        <f t="shared" si="4"/>
        <v>216000</v>
      </c>
      <c r="AL28" s="138">
        <f t="shared" si="5"/>
        <v>216000</v>
      </c>
      <c r="AM28" s="75">
        <v>150000</v>
      </c>
      <c r="AN28" s="75">
        <v>60000</v>
      </c>
      <c r="AO28" s="138">
        <f t="shared" si="6"/>
        <v>648000</v>
      </c>
      <c r="AP28" s="138">
        <f t="shared" si="7"/>
        <v>432000</v>
      </c>
      <c r="AQ28" s="138">
        <f t="shared" si="8"/>
        <v>216000</v>
      </c>
    </row>
    <row r="29" spans="1:43" ht="14.25" x14ac:dyDescent="0.15">
      <c r="A29" s="343"/>
      <c r="B29" s="105" t="s">
        <v>79</v>
      </c>
      <c r="C29" s="42">
        <v>1200000</v>
      </c>
      <c r="D29" s="42">
        <v>660000</v>
      </c>
      <c r="E29" s="42">
        <v>660000</v>
      </c>
      <c r="F29" s="42">
        <v>660000</v>
      </c>
      <c r="G29" s="42">
        <v>660000</v>
      </c>
      <c r="H29" s="44">
        <v>818000</v>
      </c>
      <c r="I29" s="44">
        <f t="shared" si="15"/>
        <v>981600</v>
      </c>
      <c r="J29" s="42" t="s">
        <v>1183</v>
      </c>
      <c r="K29" s="42"/>
      <c r="L29" s="42">
        <v>960000</v>
      </c>
      <c r="M29" s="46">
        <v>1152000</v>
      </c>
      <c r="N29" s="46">
        <f t="shared" si="9"/>
        <v>1382400</v>
      </c>
      <c r="O29" s="46">
        <f t="shared" si="10"/>
        <v>1382400</v>
      </c>
      <c r="P29" s="46">
        <f t="shared" si="11"/>
        <v>1612800</v>
      </c>
      <c r="Q29" s="46">
        <f t="shared" si="12"/>
        <v>115200</v>
      </c>
      <c r="R29" s="107"/>
      <c r="S29" s="77">
        <v>25000</v>
      </c>
      <c r="T29" s="110">
        <v>60000</v>
      </c>
      <c r="U29" s="110"/>
      <c r="V29" s="110">
        <v>3000</v>
      </c>
      <c r="W29" s="107"/>
      <c r="X29" s="110">
        <v>2000</v>
      </c>
      <c r="Y29" s="113">
        <v>2000</v>
      </c>
      <c r="Z29" s="75">
        <f t="shared" si="0"/>
        <v>120000</v>
      </c>
      <c r="AA29" s="138">
        <f t="shared" si="16"/>
        <v>480000</v>
      </c>
      <c r="AB29" s="138">
        <f t="shared" si="13"/>
        <v>240000</v>
      </c>
      <c r="AC29" s="138">
        <f t="shared" si="16"/>
        <v>480000</v>
      </c>
      <c r="AD29" s="138">
        <f t="shared" si="13"/>
        <v>240000</v>
      </c>
      <c r="AE29" s="138">
        <f t="shared" si="16"/>
        <v>480000</v>
      </c>
      <c r="AF29" s="138">
        <f t="shared" si="14"/>
        <v>480000</v>
      </c>
      <c r="AG29" s="139">
        <f t="shared" si="14"/>
        <v>480000</v>
      </c>
      <c r="AH29" s="78">
        <v>180000</v>
      </c>
      <c r="AI29" s="78">
        <v>360000</v>
      </c>
      <c r="AJ29" s="79">
        <v>60000</v>
      </c>
      <c r="AK29" s="140">
        <f t="shared" si="4"/>
        <v>240000</v>
      </c>
      <c r="AL29" s="138">
        <f t="shared" si="5"/>
        <v>240000</v>
      </c>
      <c r="AM29" s="75">
        <v>150000</v>
      </c>
      <c r="AN29" s="75">
        <v>60000</v>
      </c>
      <c r="AO29" s="138">
        <f t="shared" si="6"/>
        <v>720000</v>
      </c>
      <c r="AP29" s="138">
        <f t="shared" si="7"/>
        <v>480000</v>
      </c>
      <c r="AQ29" s="138">
        <f t="shared" si="8"/>
        <v>240000</v>
      </c>
    </row>
    <row r="30" spans="1:43" ht="14.25" x14ac:dyDescent="0.15">
      <c r="A30" s="343"/>
      <c r="B30" s="105" t="s">
        <v>939</v>
      </c>
      <c r="C30" s="42">
        <v>1680000</v>
      </c>
      <c r="D30" s="42">
        <v>924000</v>
      </c>
      <c r="E30" s="42">
        <v>924000</v>
      </c>
      <c r="F30" s="42">
        <v>924000</v>
      </c>
      <c r="G30" s="42">
        <v>924000</v>
      </c>
      <c r="H30" s="44">
        <v>1056000</v>
      </c>
      <c r="I30" s="44">
        <f t="shared" si="15"/>
        <v>1267200</v>
      </c>
      <c r="J30" s="42" t="s">
        <v>1183</v>
      </c>
      <c r="K30" s="42"/>
      <c r="L30" s="42">
        <v>1080000</v>
      </c>
      <c r="M30" s="46">
        <v>1296000</v>
      </c>
      <c r="N30" s="46">
        <f t="shared" si="9"/>
        <v>1555200</v>
      </c>
      <c r="O30" s="46">
        <f t="shared" si="10"/>
        <v>1555200</v>
      </c>
      <c r="P30" s="46">
        <f t="shared" si="11"/>
        <v>1814400</v>
      </c>
      <c r="Q30" s="46">
        <f t="shared" si="12"/>
        <v>129600</v>
      </c>
      <c r="R30" s="107"/>
      <c r="S30" s="77">
        <v>25000</v>
      </c>
      <c r="T30" s="110">
        <v>60000</v>
      </c>
      <c r="U30" s="110"/>
      <c r="V30" s="110">
        <v>3000</v>
      </c>
      <c r="W30" s="107"/>
      <c r="X30" s="110">
        <v>2000</v>
      </c>
      <c r="Y30" s="113">
        <v>2000</v>
      </c>
      <c r="Z30" s="75">
        <f t="shared" si="0"/>
        <v>168000</v>
      </c>
      <c r="AA30" s="138">
        <f t="shared" si="16"/>
        <v>672000</v>
      </c>
      <c r="AB30" s="138">
        <f t="shared" si="13"/>
        <v>336000</v>
      </c>
      <c r="AC30" s="138">
        <f t="shared" si="16"/>
        <v>672000</v>
      </c>
      <c r="AD30" s="138">
        <f t="shared" si="13"/>
        <v>336000</v>
      </c>
      <c r="AE30" s="138">
        <f t="shared" si="16"/>
        <v>672000</v>
      </c>
      <c r="AF30" s="138">
        <f t="shared" si="14"/>
        <v>672000</v>
      </c>
      <c r="AG30" s="139">
        <f t="shared" si="14"/>
        <v>672000</v>
      </c>
      <c r="AH30" s="75">
        <v>180000</v>
      </c>
      <c r="AI30" s="75">
        <v>360000</v>
      </c>
      <c r="AJ30" s="76">
        <v>60000</v>
      </c>
      <c r="AK30" s="140">
        <f t="shared" si="4"/>
        <v>336000</v>
      </c>
      <c r="AL30" s="138">
        <f t="shared" si="5"/>
        <v>336000</v>
      </c>
      <c r="AM30" s="75">
        <v>150000</v>
      </c>
      <c r="AN30" s="75">
        <v>60000</v>
      </c>
      <c r="AO30" s="138">
        <f t="shared" si="6"/>
        <v>1008000</v>
      </c>
      <c r="AP30" s="138">
        <f t="shared" si="7"/>
        <v>672000</v>
      </c>
      <c r="AQ30" s="138">
        <f t="shared" si="8"/>
        <v>336000</v>
      </c>
    </row>
    <row r="31" spans="1:43" ht="14.25" x14ac:dyDescent="0.15">
      <c r="A31" s="343"/>
      <c r="B31" s="105" t="s">
        <v>940</v>
      </c>
      <c r="C31" s="42">
        <v>1680000</v>
      </c>
      <c r="D31" s="42">
        <v>924000</v>
      </c>
      <c r="E31" s="42">
        <v>924000</v>
      </c>
      <c r="F31" s="42">
        <v>924000</v>
      </c>
      <c r="G31" s="42">
        <v>924000</v>
      </c>
      <c r="H31" s="44">
        <v>1056000</v>
      </c>
      <c r="I31" s="44">
        <f t="shared" si="15"/>
        <v>1267200</v>
      </c>
      <c r="J31" s="42" t="s">
        <v>1183</v>
      </c>
      <c r="K31" s="42"/>
      <c r="L31" s="42">
        <v>1080000</v>
      </c>
      <c r="M31" s="46">
        <v>1296000</v>
      </c>
      <c r="N31" s="46">
        <f t="shared" si="9"/>
        <v>1555200</v>
      </c>
      <c r="O31" s="46">
        <f t="shared" si="10"/>
        <v>1555200</v>
      </c>
      <c r="P31" s="46">
        <f t="shared" si="11"/>
        <v>1814400</v>
      </c>
      <c r="Q31" s="46">
        <f t="shared" si="12"/>
        <v>129600</v>
      </c>
      <c r="R31" s="107"/>
      <c r="S31" s="77">
        <v>25000</v>
      </c>
      <c r="T31" s="110">
        <v>60000</v>
      </c>
      <c r="U31" s="110"/>
      <c r="V31" s="110">
        <v>3000</v>
      </c>
      <c r="W31" s="107"/>
      <c r="X31" s="110">
        <v>2000</v>
      </c>
      <c r="Y31" s="113">
        <v>2000</v>
      </c>
      <c r="Z31" s="75">
        <f t="shared" si="0"/>
        <v>168000</v>
      </c>
      <c r="AA31" s="138">
        <f t="shared" si="16"/>
        <v>672000</v>
      </c>
      <c r="AB31" s="138">
        <f t="shared" si="13"/>
        <v>336000</v>
      </c>
      <c r="AC31" s="138">
        <f t="shared" si="16"/>
        <v>672000</v>
      </c>
      <c r="AD31" s="138">
        <f t="shared" si="13"/>
        <v>336000</v>
      </c>
      <c r="AE31" s="138">
        <f t="shared" si="16"/>
        <v>672000</v>
      </c>
      <c r="AF31" s="138">
        <f t="shared" si="14"/>
        <v>672000</v>
      </c>
      <c r="AG31" s="139">
        <f t="shared" si="14"/>
        <v>672000</v>
      </c>
      <c r="AH31" s="75">
        <v>180000</v>
      </c>
      <c r="AI31" s="75">
        <v>360000</v>
      </c>
      <c r="AJ31" s="76">
        <v>60000</v>
      </c>
      <c r="AK31" s="140">
        <f t="shared" si="4"/>
        <v>336000</v>
      </c>
      <c r="AL31" s="138">
        <f t="shared" si="5"/>
        <v>336000</v>
      </c>
      <c r="AM31" s="75">
        <v>150000</v>
      </c>
      <c r="AN31" s="75">
        <v>60000</v>
      </c>
      <c r="AO31" s="138">
        <f t="shared" si="6"/>
        <v>1008000</v>
      </c>
      <c r="AP31" s="138">
        <f t="shared" si="7"/>
        <v>672000</v>
      </c>
      <c r="AQ31" s="138">
        <f t="shared" si="8"/>
        <v>336000</v>
      </c>
    </row>
    <row r="32" spans="1:43" ht="14.25" x14ac:dyDescent="0.15">
      <c r="A32" s="343"/>
      <c r="B32" s="105" t="s">
        <v>80</v>
      </c>
      <c r="C32" s="42">
        <v>2160000</v>
      </c>
      <c r="D32" s="42">
        <v>1140000</v>
      </c>
      <c r="E32" s="42">
        <v>1140000</v>
      </c>
      <c r="F32" s="42">
        <v>1140000</v>
      </c>
      <c r="G32" s="42">
        <v>1140000</v>
      </c>
      <c r="H32" s="44">
        <v>1452000</v>
      </c>
      <c r="I32" s="44">
        <f t="shared" si="15"/>
        <v>1742400</v>
      </c>
      <c r="J32" s="42" t="s">
        <v>1183</v>
      </c>
      <c r="K32" s="42"/>
      <c r="L32" s="42">
        <v>1560000</v>
      </c>
      <c r="M32" s="46">
        <v>1872000</v>
      </c>
      <c r="N32" s="46">
        <f t="shared" si="9"/>
        <v>2246400</v>
      </c>
      <c r="O32" s="46">
        <f t="shared" si="10"/>
        <v>2246400</v>
      </c>
      <c r="P32" s="46">
        <f t="shared" si="11"/>
        <v>2620800</v>
      </c>
      <c r="Q32" s="46">
        <f t="shared" si="12"/>
        <v>187200</v>
      </c>
      <c r="R32" s="107"/>
      <c r="S32" s="77">
        <v>25000</v>
      </c>
      <c r="T32" s="110">
        <v>60000</v>
      </c>
      <c r="U32" s="110"/>
      <c r="V32" s="110">
        <v>3000</v>
      </c>
      <c r="W32" s="107"/>
      <c r="X32" s="110">
        <v>2000</v>
      </c>
      <c r="Y32" s="113">
        <v>2000</v>
      </c>
      <c r="Z32" s="75">
        <f t="shared" si="0"/>
        <v>216000</v>
      </c>
      <c r="AA32" s="138">
        <f t="shared" si="16"/>
        <v>864000</v>
      </c>
      <c r="AB32" s="138">
        <f t="shared" si="13"/>
        <v>432000</v>
      </c>
      <c r="AC32" s="138">
        <f t="shared" si="16"/>
        <v>864000</v>
      </c>
      <c r="AD32" s="138">
        <f t="shared" si="13"/>
        <v>432000</v>
      </c>
      <c r="AE32" s="138">
        <f t="shared" si="16"/>
        <v>864000</v>
      </c>
      <c r="AF32" s="138">
        <f t="shared" si="14"/>
        <v>864000</v>
      </c>
      <c r="AG32" s="139">
        <f t="shared" si="14"/>
        <v>864000</v>
      </c>
      <c r="AH32" s="78">
        <v>180000</v>
      </c>
      <c r="AI32" s="78">
        <v>360000</v>
      </c>
      <c r="AJ32" s="79">
        <v>60000</v>
      </c>
      <c r="AK32" s="140">
        <f t="shared" si="4"/>
        <v>432000</v>
      </c>
      <c r="AL32" s="138">
        <f t="shared" si="5"/>
        <v>432000</v>
      </c>
      <c r="AM32" s="75">
        <v>150000</v>
      </c>
      <c r="AN32" s="75">
        <v>60000</v>
      </c>
      <c r="AO32" s="138">
        <f t="shared" si="6"/>
        <v>1296000</v>
      </c>
      <c r="AP32" s="138">
        <f t="shared" si="7"/>
        <v>864000</v>
      </c>
      <c r="AQ32" s="138">
        <f t="shared" si="8"/>
        <v>432000</v>
      </c>
    </row>
    <row r="33" spans="1:43" ht="14.25" x14ac:dyDescent="0.15">
      <c r="A33" s="676"/>
      <c r="B33" s="105" t="s">
        <v>81</v>
      </c>
      <c r="C33" s="42">
        <v>2880000</v>
      </c>
      <c r="D33" s="42">
        <v>1380000</v>
      </c>
      <c r="E33" s="42">
        <v>1380000</v>
      </c>
      <c r="F33" s="42">
        <v>1380000</v>
      </c>
      <c r="G33" s="42">
        <v>1380000</v>
      </c>
      <c r="H33" s="44">
        <v>1782000</v>
      </c>
      <c r="I33" s="44">
        <f t="shared" si="15"/>
        <v>2138400</v>
      </c>
      <c r="J33" s="42" t="s">
        <v>1183</v>
      </c>
      <c r="K33" s="42"/>
      <c r="L33" s="42">
        <v>1800000</v>
      </c>
      <c r="M33" s="46">
        <v>2160000</v>
      </c>
      <c r="N33" s="46">
        <f t="shared" si="9"/>
        <v>2592000</v>
      </c>
      <c r="O33" s="46">
        <f t="shared" si="10"/>
        <v>2592000</v>
      </c>
      <c r="P33" s="46">
        <f t="shared" si="11"/>
        <v>3024000</v>
      </c>
      <c r="Q33" s="46">
        <f t="shared" si="12"/>
        <v>216000</v>
      </c>
      <c r="R33" s="107"/>
      <c r="S33" s="77">
        <v>25000</v>
      </c>
      <c r="T33" s="110">
        <v>60000</v>
      </c>
      <c r="U33" s="110"/>
      <c r="V33" s="110">
        <v>3000</v>
      </c>
      <c r="W33" s="107"/>
      <c r="X33" s="110">
        <v>2000</v>
      </c>
      <c r="Y33" s="113">
        <v>2000</v>
      </c>
      <c r="Z33" s="75">
        <f t="shared" si="0"/>
        <v>288000</v>
      </c>
      <c r="AA33" s="138">
        <f t="shared" si="16"/>
        <v>1152000</v>
      </c>
      <c r="AB33" s="138">
        <f>+$C33*0.2</f>
        <v>576000</v>
      </c>
      <c r="AC33" s="138">
        <f t="shared" si="16"/>
        <v>1152000</v>
      </c>
      <c r="AD33" s="138">
        <f>+$C33*0.2</f>
        <v>576000</v>
      </c>
      <c r="AE33" s="138">
        <f t="shared" si="16"/>
        <v>1152000</v>
      </c>
      <c r="AF33" s="138">
        <f>+$C33*0.4</f>
        <v>1152000</v>
      </c>
      <c r="AG33" s="139">
        <f>+$C33*0.4</f>
        <v>1152000</v>
      </c>
      <c r="AH33" s="75">
        <v>180000</v>
      </c>
      <c r="AI33" s="75">
        <v>360000</v>
      </c>
      <c r="AJ33" s="76">
        <v>60000</v>
      </c>
      <c r="AK33" s="140">
        <f t="shared" si="4"/>
        <v>576000</v>
      </c>
      <c r="AL33" s="138">
        <f t="shared" si="5"/>
        <v>576000</v>
      </c>
      <c r="AM33" s="75">
        <v>150000</v>
      </c>
      <c r="AN33" s="75">
        <v>60000</v>
      </c>
      <c r="AO33" s="138">
        <f t="shared" si="6"/>
        <v>1728000</v>
      </c>
      <c r="AP33" s="138">
        <f t="shared" si="7"/>
        <v>1152000</v>
      </c>
      <c r="AQ33" s="138">
        <f t="shared" si="8"/>
        <v>576000</v>
      </c>
    </row>
    <row r="34" spans="1:43" ht="14.25" x14ac:dyDescent="0.15">
      <c r="A34" s="48" t="s">
        <v>54</v>
      </c>
      <c r="B34" s="48"/>
      <c r="C34" s="49"/>
      <c r="D34" s="49"/>
      <c r="E34" s="49"/>
      <c r="F34" s="49"/>
      <c r="G34" s="49"/>
      <c r="H34" s="50"/>
      <c r="I34" s="50"/>
      <c r="J34" s="49"/>
      <c r="K34" s="49"/>
      <c r="L34" s="49"/>
      <c r="M34" s="49"/>
      <c r="N34" s="49"/>
      <c r="O34" s="49"/>
      <c r="P34" s="49"/>
      <c r="Q34" s="49"/>
      <c r="R34" s="40"/>
      <c r="S34" s="33" t="s">
        <v>62</v>
      </c>
      <c r="T34" s="68"/>
      <c r="U34" s="68"/>
      <c r="V34" s="68"/>
      <c r="W34" s="40"/>
      <c r="X34" s="68"/>
      <c r="Y34" s="68"/>
      <c r="Z34" s="68"/>
      <c r="AA34" s="68"/>
      <c r="AB34" s="95"/>
      <c r="AC34" s="95"/>
      <c r="AD34" s="68"/>
      <c r="AE34" s="68"/>
      <c r="AF34" s="68"/>
      <c r="AG34" s="68"/>
      <c r="AH34" s="52"/>
      <c r="AI34" s="52"/>
      <c r="AJ34" s="68"/>
      <c r="AK34" s="33" t="s">
        <v>65</v>
      </c>
      <c r="AL34" s="68"/>
      <c r="AM34" s="68"/>
      <c r="AN34" s="68"/>
      <c r="AO34" s="35" t="s">
        <v>84</v>
      </c>
      <c r="AP34" s="68"/>
      <c r="AQ34" s="68"/>
    </row>
    <row r="35" spans="1:43" ht="14.25" x14ac:dyDescent="0.15">
      <c r="A35" s="37" t="s">
        <v>55</v>
      </c>
      <c r="B35" s="37"/>
      <c r="C35" s="40"/>
      <c r="D35" s="40"/>
      <c r="E35" s="40"/>
      <c r="F35" s="40"/>
      <c r="G35" s="40"/>
      <c r="H35" s="47"/>
      <c r="I35" s="47"/>
      <c r="J35" s="40"/>
      <c r="K35" s="40"/>
      <c r="L35" s="40"/>
      <c r="M35" s="40"/>
      <c r="N35" s="40"/>
      <c r="O35" s="40"/>
      <c r="P35" s="40"/>
      <c r="Q35" s="40"/>
      <c r="R35" s="40"/>
      <c r="S35" s="33" t="s">
        <v>63</v>
      </c>
      <c r="T35" s="68"/>
      <c r="U35" s="68"/>
      <c r="V35" s="68"/>
      <c r="W35" s="40"/>
      <c r="X35" s="68"/>
      <c r="Y35" s="68"/>
      <c r="Z35" s="68"/>
      <c r="AA35" s="68"/>
      <c r="AB35" s="96"/>
      <c r="AC35" s="96"/>
      <c r="AD35" s="68"/>
      <c r="AE35" s="68"/>
      <c r="AF35" s="68"/>
      <c r="AG35" s="68"/>
      <c r="AH35" s="52"/>
      <c r="AI35" s="52"/>
      <c r="AJ35" s="68"/>
      <c r="AK35" s="33" t="s">
        <v>83</v>
      </c>
      <c r="AL35" s="68"/>
      <c r="AM35" s="68"/>
      <c r="AN35" s="68"/>
      <c r="AO35" s="34" t="s">
        <v>118</v>
      </c>
      <c r="AP35" s="68"/>
      <c r="AQ35" s="68"/>
    </row>
    <row r="36" spans="1:43" ht="14.25" x14ac:dyDescent="0.15">
      <c r="A36" s="37" t="s">
        <v>56</v>
      </c>
      <c r="B36" s="37"/>
      <c r="C36" s="40"/>
      <c r="D36" s="40"/>
      <c r="E36" s="40"/>
      <c r="F36" s="40"/>
      <c r="G36" s="40"/>
      <c r="H36" s="47"/>
      <c r="I36" s="47"/>
      <c r="J36" s="40"/>
      <c r="K36" s="40"/>
      <c r="L36" s="40"/>
      <c r="M36" s="40"/>
      <c r="N36" s="40"/>
      <c r="O36" s="40"/>
      <c r="P36" s="40"/>
      <c r="Q36" s="40"/>
      <c r="R36" s="40"/>
      <c r="S36" s="33" t="s">
        <v>64</v>
      </c>
      <c r="T36" s="68"/>
      <c r="U36" s="68"/>
      <c r="V36" s="68"/>
      <c r="W36" s="40"/>
      <c r="X36" s="68"/>
      <c r="Y36" s="68"/>
      <c r="Z36" s="68"/>
      <c r="AA36" s="68"/>
      <c r="AB36" s="36"/>
      <c r="AC36" s="36"/>
      <c r="AD36" s="68"/>
      <c r="AE36" s="68"/>
      <c r="AF36" s="68"/>
      <c r="AG36" s="68"/>
      <c r="AH36" s="52"/>
      <c r="AI36" s="52"/>
      <c r="AJ36" s="68"/>
      <c r="AK36" s="68"/>
      <c r="AL36" s="68"/>
      <c r="AM36" s="68"/>
      <c r="AN36" s="68"/>
      <c r="AO36" s="35" t="s">
        <v>85</v>
      </c>
      <c r="AP36" s="68"/>
      <c r="AQ36" s="68"/>
    </row>
    <row r="37" spans="1:43" ht="14.25" x14ac:dyDescent="0.15">
      <c r="A37" s="37" t="s">
        <v>82</v>
      </c>
      <c r="B37" s="68"/>
      <c r="C37" s="68"/>
      <c r="D37" s="68"/>
      <c r="E37" s="68"/>
      <c r="F37" s="68"/>
      <c r="G37" s="68"/>
      <c r="H37" s="68"/>
      <c r="I37" s="68"/>
      <c r="J37" s="68"/>
      <c r="K37" s="68"/>
      <c r="L37" s="68"/>
      <c r="M37" s="68"/>
      <c r="N37" s="68"/>
      <c r="O37" s="68"/>
      <c r="P37" s="68"/>
      <c r="Q37" s="68"/>
      <c r="R37" s="68"/>
      <c r="S37" s="33" t="s">
        <v>119</v>
      </c>
      <c r="T37" s="68"/>
      <c r="U37" s="68"/>
      <c r="V37" s="68"/>
      <c r="W37" s="68"/>
      <c r="X37" s="68"/>
      <c r="Y37" s="68"/>
      <c r="Z37" s="68"/>
      <c r="AA37" s="68"/>
      <c r="AB37" s="68"/>
      <c r="AC37" s="68"/>
      <c r="AD37" s="68"/>
      <c r="AE37" s="68"/>
      <c r="AF37" s="68"/>
      <c r="AG37" s="68"/>
      <c r="AH37" s="52"/>
      <c r="AI37" s="52"/>
      <c r="AJ37" s="68"/>
      <c r="AK37" s="68"/>
      <c r="AL37" s="68"/>
      <c r="AM37" s="68"/>
      <c r="AN37" s="68"/>
      <c r="AO37" s="34" t="s">
        <v>86</v>
      </c>
      <c r="AP37" s="68"/>
      <c r="AQ37" s="68"/>
    </row>
    <row r="38" spans="1:43" ht="14.25" x14ac:dyDescent="0.15">
      <c r="A38" s="33" t="s">
        <v>57</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52"/>
      <c r="AI38" s="52"/>
      <c r="AK38" s="68"/>
      <c r="AL38" s="68"/>
      <c r="AM38" s="68"/>
      <c r="AN38" s="68"/>
      <c r="AO38" s="34" t="s">
        <v>120</v>
      </c>
    </row>
    <row r="39" spans="1:43" ht="15.75" x14ac:dyDescent="0.15">
      <c r="A39" s="33" t="s">
        <v>58</v>
      </c>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68"/>
      <c r="AC39" s="68"/>
      <c r="AD39" s="68"/>
      <c r="AE39" s="68"/>
      <c r="AF39" s="68"/>
      <c r="AG39" s="68"/>
      <c r="AH39" s="68"/>
      <c r="AI39" s="68"/>
      <c r="AK39" s="68"/>
      <c r="AL39" s="68"/>
      <c r="AM39" s="68"/>
      <c r="AN39" s="68"/>
    </row>
    <row r="40" spans="1:43" ht="15.75" x14ac:dyDescent="0.15">
      <c r="A40" s="33" t="s">
        <v>59</v>
      </c>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68"/>
      <c r="AC40" s="68"/>
      <c r="AD40" s="68"/>
      <c r="AE40" s="68"/>
      <c r="AF40" s="68"/>
      <c r="AG40" s="68"/>
      <c r="AH40" s="68"/>
      <c r="AI40" s="68"/>
      <c r="AK40" s="68"/>
      <c r="AL40" s="68"/>
      <c r="AM40" s="68"/>
      <c r="AN40" s="68"/>
    </row>
    <row r="41" spans="1:43" ht="15.75" x14ac:dyDescent="0.15">
      <c r="A41" s="33" t="s">
        <v>121</v>
      </c>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68"/>
      <c r="AC41" s="68"/>
      <c r="AD41" s="68"/>
      <c r="AE41" s="68"/>
      <c r="AF41" s="68"/>
      <c r="AG41" s="68"/>
      <c r="AH41" s="68"/>
      <c r="AI41" s="68"/>
      <c r="AK41" s="68"/>
      <c r="AL41" s="68"/>
      <c r="AM41" s="68"/>
      <c r="AN41" s="68"/>
    </row>
    <row r="42" spans="1:43" ht="15.75" x14ac:dyDescent="0.15">
      <c r="A42" s="33" t="s">
        <v>60</v>
      </c>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68"/>
      <c r="AC42" s="68"/>
      <c r="AD42" s="68"/>
      <c r="AE42" s="68"/>
      <c r="AF42" s="68"/>
      <c r="AG42" s="68"/>
      <c r="AH42" s="68"/>
      <c r="AI42" s="68"/>
      <c r="AK42" s="68"/>
      <c r="AL42" s="68"/>
      <c r="AM42" s="68"/>
      <c r="AN42" s="68"/>
    </row>
    <row r="43" spans="1:43" ht="15.75" x14ac:dyDescent="0.15">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68"/>
      <c r="AC43" s="68"/>
      <c r="AD43" s="68"/>
      <c r="AE43" s="68"/>
      <c r="AF43" s="68"/>
      <c r="AG43" s="68"/>
      <c r="AH43" s="68"/>
      <c r="AI43" s="68"/>
      <c r="AK43" s="68"/>
      <c r="AL43" s="68"/>
      <c r="AM43" s="68"/>
      <c r="AN43" s="68"/>
    </row>
    <row r="44" spans="1:43" ht="15.75" hidden="1" x14ac:dyDescent="0.15">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68"/>
      <c r="AC44" s="68"/>
      <c r="AD44" s="68"/>
      <c r="AE44" s="68"/>
      <c r="AF44" s="68"/>
      <c r="AG44" s="68"/>
      <c r="AH44" s="68"/>
      <c r="AI44" s="68"/>
      <c r="AK44" s="68"/>
      <c r="AL44" s="68"/>
      <c r="AM44" s="68"/>
      <c r="AN44" s="68"/>
    </row>
    <row r="45" spans="1:43" ht="15.75" hidden="1" x14ac:dyDescent="0.15">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68"/>
      <c r="AC45" s="68"/>
      <c r="AD45" s="68"/>
      <c r="AE45" s="68"/>
      <c r="AF45" s="68"/>
      <c r="AG45" s="68"/>
      <c r="AH45" s="68"/>
      <c r="AI45" s="68"/>
      <c r="AK45" s="68"/>
      <c r="AL45" s="68"/>
      <c r="AM45" s="68"/>
      <c r="AN45" s="68"/>
    </row>
    <row r="46" spans="1:43" ht="15.75" hidden="1" x14ac:dyDescent="0.15">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68"/>
      <c r="AC46" s="68"/>
      <c r="AD46" s="68"/>
      <c r="AE46" s="68"/>
      <c r="AF46" s="68"/>
      <c r="AG46" s="68"/>
      <c r="AH46" s="68"/>
      <c r="AI46" s="68"/>
      <c r="AK46" s="68"/>
      <c r="AL46" s="68"/>
      <c r="AM46" s="68"/>
      <c r="AN46" s="68"/>
    </row>
    <row r="47" spans="1:43" ht="15.75" hidden="1" x14ac:dyDescent="0.15">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68"/>
      <c r="AC47" s="68"/>
      <c r="AD47" s="68"/>
      <c r="AE47" s="68"/>
      <c r="AF47" s="68"/>
      <c r="AG47" s="68"/>
      <c r="AH47" s="68"/>
      <c r="AI47" s="68"/>
      <c r="AK47" s="68"/>
      <c r="AL47" s="68"/>
      <c r="AM47" s="68"/>
      <c r="AN47" s="68"/>
    </row>
    <row r="48" spans="1:43" ht="15.75" hidden="1" x14ac:dyDescent="0.15">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68"/>
      <c r="AC48" s="68"/>
      <c r="AD48" s="68"/>
      <c r="AE48" s="68"/>
      <c r="AF48" s="68"/>
      <c r="AG48" s="68"/>
      <c r="AH48" s="68"/>
      <c r="AI48" s="68"/>
      <c r="AK48" s="68"/>
      <c r="AL48" s="68"/>
      <c r="AM48" s="68"/>
      <c r="AN48" s="68"/>
    </row>
    <row r="49" spans="1:40" ht="15.75" hidden="1" x14ac:dyDescent="0.15">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68"/>
      <c r="AC49" s="68"/>
      <c r="AD49" s="68"/>
      <c r="AE49" s="68"/>
      <c r="AF49" s="68"/>
      <c r="AG49" s="68"/>
      <c r="AH49" s="68"/>
      <c r="AI49" s="68"/>
      <c r="AK49" s="68"/>
      <c r="AL49" s="68"/>
      <c r="AM49" s="68"/>
      <c r="AN49" s="68"/>
    </row>
    <row r="50" spans="1:40" ht="15.75" hidden="1" x14ac:dyDescent="0.15">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68"/>
      <c r="AC50" s="68"/>
      <c r="AD50" s="68"/>
      <c r="AE50" s="68"/>
      <c r="AF50" s="68"/>
      <c r="AG50" s="68"/>
      <c r="AH50" s="68"/>
      <c r="AI50" s="68"/>
      <c r="AK50" s="68"/>
      <c r="AL50" s="68"/>
      <c r="AM50" s="68"/>
      <c r="AN50" s="68"/>
    </row>
    <row r="51" spans="1:40" ht="15.75" x14ac:dyDescent="0.15">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68"/>
      <c r="AC51" s="68"/>
      <c r="AD51" s="68"/>
      <c r="AE51" s="68"/>
      <c r="AF51" s="68"/>
      <c r="AG51" s="68"/>
      <c r="AH51" s="68"/>
      <c r="AI51" s="68"/>
      <c r="AK51" s="68"/>
      <c r="AL51" s="68"/>
      <c r="AM51" s="68"/>
      <c r="AN51" s="68"/>
    </row>
    <row r="52" spans="1:40" ht="15.75" hidden="1" x14ac:dyDescent="0.15">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68"/>
      <c r="AC52" s="68"/>
      <c r="AD52" s="68"/>
      <c r="AE52" s="68"/>
      <c r="AF52" s="68"/>
      <c r="AG52" s="68"/>
      <c r="AH52" s="68"/>
      <c r="AI52" s="68"/>
      <c r="AK52" s="68"/>
      <c r="AL52" s="68"/>
      <c r="AM52" s="68"/>
      <c r="AN52" s="68"/>
    </row>
    <row r="53" spans="1:40" ht="15.75" hidden="1" x14ac:dyDescent="0.15">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68"/>
      <c r="AC53" s="68"/>
      <c r="AD53" s="68"/>
      <c r="AE53" s="68"/>
      <c r="AF53" s="68"/>
      <c r="AG53" s="68"/>
      <c r="AH53" s="68"/>
      <c r="AI53" s="68"/>
      <c r="AK53" s="68"/>
      <c r="AL53" s="68"/>
      <c r="AM53" s="68"/>
      <c r="AN53" s="68"/>
    </row>
    <row r="54" spans="1:40" ht="15.75" hidden="1" x14ac:dyDescent="0.15">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68"/>
      <c r="AC54" s="68"/>
      <c r="AD54" s="68"/>
      <c r="AE54" s="68"/>
      <c r="AF54" s="68"/>
      <c r="AG54" s="68"/>
      <c r="AH54" s="68"/>
      <c r="AI54" s="68"/>
      <c r="AK54" s="68"/>
      <c r="AL54" s="68"/>
      <c r="AM54" s="68"/>
      <c r="AN54" s="68"/>
    </row>
    <row r="55" spans="1:40" ht="15.75" hidden="1" x14ac:dyDescent="0.15">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68"/>
      <c r="AC55" s="68"/>
      <c r="AD55" s="68"/>
      <c r="AE55" s="68"/>
      <c r="AF55" s="68"/>
      <c r="AG55" s="68"/>
      <c r="AH55" s="68"/>
      <c r="AI55" s="68"/>
      <c r="AK55" s="68"/>
      <c r="AL55" s="68"/>
      <c r="AM55" s="68"/>
      <c r="AN55" s="68"/>
    </row>
    <row r="56" spans="1:40" ht="15.75" hidden="1" x14ac:dyDescent="0.15">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68"/>
      <c r="AC56" s="68"/>
      <c r="AD56" s="68"/>
      <c r="AE56" s="68"/>
      <c r="AF56" s="68"/>
      <c r="AG56" s="68"/>
      <c r="AH56" s="68"/>
      <c r="AI56" s="68"/>
      <c r="AK56" s="68"/>
      <c r="AL56" s="68"/>
      <c r="AM56" s="68"/>
      <c r="AN56" s="68"/>
    </row>
    <row r="57" spans="1:40" ht="15.75" hidden="1" x14ac:dyDescent="0.15">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68"/>
      <c r="AC57" s="68"/>
      <c r="AD57" s="68"/>
      <c r="AE57" s="68"/>
      <c r="AF57" s="68"/>
      <c r="AG57" s="68"/>
      <c r="AH57" s="68"/>
      <c r="AI57" s="68"/>
      <c r="AK57" s="68"/>
      <c r="AL57" s="68"/>
      <c r="AM57" s="68"/>
      <c r="AN57" s="68"/>
    </row>
    <row r="58" spans="1:40" ht="15.75" hidden="1" x14ac:dyDescent="0.15">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68"/>
      <c r="AC58" s="68"/>
      <c r="AD58" s="68"/>
      <c r="AE58" s="68"/>
      <c r="AF58" s="68"/>
      <c r="AG58" s="68"/>
      <c r="AH58" s="68"/>
      <c r="AI58" s="68"/>
      <c r="AK58" s="68"/>
      <c r="AL58" s="68"/>
      <c r="AM58" s="68"/>
      <c r="AN58" s="68"/>
    </row>
    <row r="59" spans="1:40" ht="15.75" hidden="1" x14ac:dyDescent="0.15">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68"/>
      <c r="AC59" s="68"/>
      <c r="AD59" s="68"/>
      <c r="AE59" s="68"/>
      <c r="AF59" s="68"/>
      <c r="AG59" s="68"/>
      <c r="AH59" s="68"/>
      <c r="AI59" s="68"/>
      <c r="AK59" s="68"/>
      <c r="AL59" s="68"/>
      <c r="AM59" s="68"/>
      <c r="AN59" s="68"/>
    </row>
    <row r="60" spans="1:40" ht="15.75" hidden="1" x14ac:dyDescent="0.15">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68"/>
      <c r="AC60" s="68"/>
      <c r="AD60" s="68"/>
      <c r="AE60" s="68"/>
      <c r="AF60" s="68"/>
      <c r="AG60" s="68"/>
      <c r="AH60" s="68"/>
      <c r="AI60" s="68"/>
      <c r="AK60" s="68"/>
      <c r="AL60" s="68"/>
      <c r="AM60" s="68"/>
      <c r="AN60" s="68"/>
    </row>
    <row r="61" spans="1:40" ht="15.75" hidden="1" x14ac:dyDescent="0.15">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68"/>
      <c r="AC61" s="68"/>
      <c r="AD61" s="68"/>
      <c r="AE61" s="68"/>
      <c r="AF61" s="68"/>
      <c r="AG61" s="68"/>
      <c r="AH61" s="68"/>
      <c r="AI61" s="68"/>
      <c r="AK61" s="68"/>
      <c r="AL61" s="68"/>
      <c r="AM61" s="68"/>
      <c r="AN61" s="68"/>
    </row>
    <row r="62" spans="1:40" ht="15.75" hidden="1" x14ac:dyDescent="0.15">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68"/>
      <c r="AC62" s="68"/>
      <c r="AD62" s="68"/>
      <c r="AE62" s="68"/>
      <c r="AF62" s="68"/>
      <c r="AG62" s="68"/>
      <c r="AH62" s="68"/>
      <c r="AI62" s="68"/>
      <c r="AK62" s="68"/>
      <c r="AL62" s="68"/>
      <c r="AM62" s="68"/>
      <c r="AN62" s="68"/>
    </row>
    <row r="63" spans="1:40" ht="15.75" hidden="1" x14ac:dyDescent="0.15">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68"/>
      <c r="AC63" s="68"/>
      <c r="AD63" s="68"/>
      <c r="AE63" s="68"/>
      <c r="AF63" s="68"/>
      <c r="AG63" s="68"/>
      <c r="AH63" s="68"/>
      <c r="AI63" s="68"/>
      <c r="AK63" s="68"/>
      <c r="AL63" s="68"/>
      <c r="AM63" s="68"/>
      <c r="AN63" s="68"/>
    </row>
    <row r="64" spans="1:40" ht="15.75" hidden="1" x14ac:dyDescent="0.15">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68"/>
      <c r="AC64" s="68"/>
      <c r="AD64" s="68"/>
      <c r="AE64" s="68"/>
      <c r="AF64" s="68"/>
      <c r="AG64" s="68"/>
      <c r="AH64" s="68"/>
      <c r="AI64" s="68"/>
      <c r="AK64" s="68"/>
      <c r="AL64" s="68"/>
      <c r="AM64" s="68"/>
      <c r="AN64" s="68"/>
    </row>
    <row r="65" spans="1:40" ht="15.75" hidden="1" x14ac:dyDescent="0.15">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68"/>
      <c r="AC65" s="68"/>
      <c r="AD65" s="68"/>
      <c r="AE65" s="68"/>
      <c r="AF65" s="68"/>
      <c r="AG65" s="68"/>
      <c r="AH65" s="68"/>
      <c r="AI65" s="68"/>
      <c r="AK65" s="68"/>
      <c r="AL65" s="68"/>
      <c r="AM65" s="68"/>
      <c r="AN65" s="68"/>
    </row>
    <row r="66" spans="1:40" ht="15.75" hidden="1" x14ac:dyDescent="0.15">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68"/>
      <c r="AC66" s="68"/>
      <c r="AD66" s="68"/>
      <c r="AE66" s="68"/>
      <c r="AF66" s="68"/>
      <c r="AG66" s="68"/>
      <c r="AH66" s="68"/>
      <c r="AI66" s="68"/>
      <c r="AK66" s="68"/>
      <c r="AL66" s="68"/>
      <c r="AM66" s="68"/>
      <c r="AN66" s="68"/>
    </row>
    <row r="67" spans="1:40" ht="15.75" hidden="1" x14ac:dyDescent="0.15">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68"/>
      <c r="AC67" s="68"/>
      <c r="AD67" s="68"/>
      <c r="AE67" s="68"/>
      <c r="AF67" s="68"/>
      <c r="AG67" s="68"/>
      <c r="AH67" s="68"/>
      <c r="AI67" s="68"/>
      <c r="AK67" s="68"/>
      <c r="AL67" s="68"/>
      <c r="AM67" s="68"/>
      <c r="AN67" s="68"/>
    </row>
    <row r="68" spans="1:40" ht="15.75" hidden="1" x14ac:dyDescent="0.15">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68"/>
      <c r="AC68" s="68"/>
      <c r="AD68" s="68"/>
      <c r="AE68" s="68"/>
      <c r="AF68" s="68"/>
      <c r="AG68" s="68"/>
      <c r="AH68" s="68"/>
      <c r="AI68" s="68"/>
      <c r="AK68" s="68"/>
      <c r="AL68" s="68"/>
      <c r="AM68" s="68"/>
      <c r="AN68" s="68"/>
    </row>
    <row r="69" spans="1:40" ht="15.75" hidden="1" x14ac:dyDescent="0.15">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68"/>
      <c r="AC69" s="68"/>
      <c r="AD69" s="68"/>
      <c r="AE69" s="68"/>
      <c r="AF69" s="68"/>
      <c r="AG69" s="68"/>
      <c r="AH69" s="68"/>
      <c r="AI69" s="68"/>
      <c r="AK69" s="68"/>
      <c r="AL69" s="68"/>
      <c r="AM69" s="68"/>
      <c r="AN69" s="68"/>
    </row>
    <row r="70" spans="1:40" ht="15.75" hidden="1" x14ac:dyDescent="0.15">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68"/>
      <c r="AC70" s="68"/>
      <c r="AD70" s="68"/>
      <c r="AE70" s="68"/>
      <c r="AF70" s="68"/>
      <c r="AG70" s="68"/>
      <c r="AH70" s="68"/>
      <c r="AI70" s="68"/>
      <c r="AK70" s="68"/>
      <c r="AL70" s="68"/>
      <c r="AM70" s="68"/>
      <c r="AN70" s="68"/>
    </row>
    <row r="71" spans="1:40" ht="15.75" hidden="1" x14ac:dyDescent="0.15">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68"/>
      <c r="AC71" s="68"/>
      <c r="AD71" s="68"/>
      <c r="AE71" s="68"/>
      <c r="AF71" s="68"/>
      <c r="AG71" s="68"/>
      <c r="AH71" s="68"/>
      <c r="AI71" s="68"/>
      <c r="AK71" s="68"/>
      <c r="AL71" s="68"/>
      <c r="AM71" s="68"/>
      <c r="AN71" s="68"/>
    </row>
    <row r="72" spans="1:40" ht="15.75" hidden="1" x14ac:dyDescent="0.15">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68"/>
      <c r="AC72" s="68"/>
      <c r="AD72" s="68"/>
      <c r="AE72" s="68"/>
      <c r="AF72" s="68"/>
      <c r="AG72" s="68"/>
      <c r="AH72" s="68"/>
      <c r="AI72" s="68"/>
      <c r="AK72" s="68"/>
      <c r="AL72" s="68"/>
      <c r="AM72" s="68"/>
      <c r="AN72" s="68"/>
    </row>
    <row r="73" spans="1:40" ht="15.75" hidden="1" x14ac:dyDescent="0.15">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68"/>
      <c r="AC73" s="68"/>
      <c r="AD73" s="68"/>
      <c r="AE73" s="68"/>
      <c r="AF73" s="68"/>
      <c r="AG73" s="68"/>
      <c r="AH73" s="68"/>
      <c r="AI73" s="68"/>
      <c r="AK73" s="68"/>
      <c r="AL73" s="68"/>
      <c r="AM73" s="68"/>
      <c r="AN73" s="68"/>
    </row>
    <row r="74" spans="1:40" ht="15.75" hidden="1" x14ac:dyDescent="0.15">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68"/>
      <c r="AC74" s="68"/>
      <c r="AD74" s="68"/>
      <c r="AE74" s="68"/>
      <c r="AF74" s="68"/>
      <c r="AG74" s="68"/>
      <c r="AH74" s="68"/>
      <c r="AI74" s="68"/>
      <c r="AK74" s="68"/>
      <c r="AL74" s="68"/>
      <c r="AM74" s="68"/>
      <c r="AN74" s="68"/>
    </row>
    <row r="75" spans="1:40" ht="15.75" hidden="1" x14ac:dyDescent="0.15">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68"/>
      <c r="AC75" s="68"/>
      <c r="AD75" s="68"/>
      <c r="AE75" s="68"/>
      <c r="AF75" s="68"/>
      <c r="AG75" s="68"/>
      <c r="AH75" s="68"/>
      <c r="AI75" s="68"/>
      <c r="AK75" s="68"/>
      <c r="AL75" s="68"/>
      <c r="AM75" s="68"/>
      <c r="AN75" s="68"/>
    </row>
    <row r="76" spans="1:40" ht="15.75" hidden="1" x14ac:dyDescent="0.15">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68"/>
      <c r="AC76" s="68"/>
      <c r="AD76" s="68"/>
      <c r="AE76" s="68"/>
      <c r="AF76" s="68"/>
      <c r="AG76" s="68"/>
      <c r="AH76" s="68"/>
      <c r="AI76" s="68"/>
      <c r="AK76" s="68"/>
      <c r="AL76" s="68"/>
      <c r="AM76" s="68"/>
      <c r="AN76" s="68"/>
    </row>
    <row r="77" spans="1:40" ht="15.75" hidden="1" x14ac:dyDescent="0.15">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68"/>
      <c r="AC77" s="68"/>
      <c r="AD77" s="68"/>
      <c r="AE77" s="68"/>
      <c r="AF77" s="68"/>
      <c r="AG77" s="68"/>
      <c r="AH77" s="68"/>
      <c r="AI77" s="68"/>
      <c r="AK77" s="68"/>
      <c r="AL77" s="68"/>
      <c r="AM77" s="68"/>
      <c r="AN77" s="68"/>
    </row>
    <row r="78" spans="1:40" ht="15.75" hidden="1" x14ac:dyDescent="0.15">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68"/>
      <c r="AC78" s="68"/>
      <c r="AD78" s="68"/>
      <c r="AE78" s="68"/>
      <c r="AF78" s="68"/>
      <c r="AG78" s="68"/>
      <c r="AH78" s="68"/>
      <c r="AI78" s="68"/>
      <c r="AK78" s="68"/>
      <c r="AL78" s="68"/>
      <c r="AM78" s="68"/>
      <c r="AN78" s="68"/>
    </row>
    <row r="79" spans="1:40" ht="15.75" hidden="1" x14ac:dyDescent="0.15">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68"/>
      <c r="AC79" s="68"/>
      <c r="AD79" s="68"/>
      <c r="AE79" s="68"/>
      <c r="AF79" s="68"/>
      <c r="AG79" s="68"/>
      <c r="AH79" s="68"/>
      <c r="AI79" s="68"/>
      <c r="AK79" s="68"/>
      <c r="AL79" s="68"/>
      <c r="AM79" s="68"/>
      <c r="AN79" s="68"/>
    </row>
    <row r="80" spans="1:40" ht="15.75" hidden="1" x14ac:dyDescent="0.15">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68"/>
      <c r="AC80" s="68"/>
      <c r="AD80" s="68"/>
      <c r="AE80" s="68"/>
      <c r="AF80" s="68"/>
      <c r="AG80" s="68"/>
      <c r="AH80" s="68"/>
      <c r="AI80" s="68"/>
      <c r="AK80" s="68"/>
      <c r="AL80" s="68"/>
      <c r="AM80" s="68"/>
      <c r="AN80" s="68"/>
    </row>
    <row r="81" spans="1:40" ht="15.75" hidden="1" x14ac:dyDescent="0.15">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68"/>
      <c r="AC81" s="68"/>
      <c r="AD81" s="68"/>
      <c r="AE81" s="68"/>
      <c r="AF81" s="68"/>
      <c r="AG81" s="68"/>
      <c r="AH81" s="68"/>
      <c r="AI81" s="68"/>
      <c r="AK81" s="68"/>
      <c r="AL81" s="68"/>
      <c r="AM81" s="68"/>
      <c r="AN81" s="68"/>
    </row>
    <row r="82" spans="1:40" ht="15.75" hidden="1" x14ac:dyDescent="0.15">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68"/>
      <c r="AC82" s="68"/>
      <c r="AD82" s="68"/>
      <c r="AE82" s="68"/>
      <c r="AF82" s="68"/>
      <c r="AG82" s="68"/>
      <c r="AH82" s="68"/>
      <c r="AI82" s="68"/>
      <c r="AK82" s="68"/>
      <c r="AL82" s="68"/>
      <c r="AM82" s="68"/>
      <c r="AN82" s="68"/>
    </row>
    <row r="83" spans="1:40" ht="15.75" hidden="1" x14ac:dyDescent="0.15">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68"/>
      <c r="AC83" s="68"/>
      <c r="AD83" s="68"/>
      <c r="AE83" s="68"/>
      <c r="AF83" s="68"/>
      <c r="AG83" s="68"/>
      <c r="AH83" s="68"/>
      <c r="AI83" s="68"/>
      <c r="AK83" s="68"/>
      <c r="AL83" s="68"/>
      <c r="AM83" s="68"/>
      <c r="AN83" s="68"/>
    </row>
    <row r="84" spans="1:40" ht="15.75" hidden="1" x14ac:dyDescent="0.15">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68"/>
      <c r="AC84" s="68"/>
      <c r="AD84" s="68"/>
      <c r="AE84" s="68"/>
      <c r="AF84" s="68"/>
      <c r="AG84" s="68"/>
      <c r="AH84" s="68"/>
      <c r="AI84" s="68"/>
      <c r="AK84" s="68"/>
      <c r="AL84" s="68"/>
      <c r="AM84" s="68"/>
      <c r="AN84" s="68"/>
    </row>
    <row r="85" spans="1:40" ht="15.75" hidden="1" x14ac:dyDescent="0.15">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68"/>
      <c r="AC85" s="68"/>
      <c r="AD85" s="68"/>
      <c r="AE85" s="68"/>
      <c r="AF85" s="68"/>
      <c r="AG85" s="68"/>
      <c r="AH85" s="68"/>
      <c r="AI85" s="68"/>
      <c r="AK85" s="68"/>
      <c r="AL85" s="68"/>
      <c r="AM85" s="68"/>
      <c r="AN85" s="68"/>
    </row>
    <row r="86" spans="1:40" ht="15.75" hidden="1" x14ac:dyDescent="0.15">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68"/>
      <c r="AC86" s="68"/>
      <c r="AD86" s="68"/>
      <c r="AE86" s="68"/>
      <c r="AF86" s="68"/>
      <c r="AG86" s="68"/>
      <c r="AH86" s="68"/>
      <c r="AI86" s="68"/>
      <c r="AK86" s="68"/>
      <c r="AL86" s="68"/>
      <c r="AM86" s="68"/>
      <c r="AN86" s="68"/>
    </row>
    <row r="87" spans="1:40" ht="15.75" hidden="1" x14ac:dyDescent="0.15">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68"/>
      <c r="AC87" s="68"/>
      <c r="AD87" s="68"/>
      <c r="AE87" s="68"/>
      <c r="AF87" s="68"/>
      <c r="AG87" s="68"/>
      <c r="AH87" s="68"/>
      <c r="AI87" s="68"/>
      <c r="AK87" s="68"/>
      <c r="AL87" s="68"/>
      <c r="AM87" s="68"/>
      <c r="AN87" s="68"/>
    </row>
    <row r="88" spans="1:40" ht="15.75" hidden="1" x14ac:dyDescent="0.15">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68"/>
      <c r="AC88" s="68"/>
      <c r="AD88" s="68"/>
      <c r="AE88" s="68"/>
      <c r="AF88" s="68"/>
      <c r="AG88" s="68"/>
      <c r="AH88" s="68"/>
      <c r="AI88" s="68"/>
      <c r="AK88" s="68"/>
      <c r="AL88" s="68"/>
      <c r="AM88" s="68"/>
      <c r="AN88" s="68"/>
    </row>
    <row r="89" spans="1:40" ht="15.75" hidden="1" x14ac:dyDescent="0.15">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68"/>
      <c r="AC89" s="68"/>
      <c r="AD89" s="68"/>
      <c r="AE89" s="68"/>
      <c r="AF89" s="68"/>
      <c r="AG89" s="68"/>
      <c r="AH89" s="68"/>
      <c r="AI89" s="68"/>
      <c r="AK89" s="68"/>
      <c r="AL89" s="68"/>
      <c r="AM89" s="68"/>
      <c r="AN89" s="68"/>
    </row>
    <row r="90" spans="1:40" ht="15.75" hidden="1" x14ac:dyDescent="0.15">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68"/>
      <c r="AC90" s="68"/>
      <c r="AD90" s="68"/>
      <c r="AE90" s="68"/>
      <c r="AF90" s="68"/>
      <c r="AG90" s="68"/>
      <c r="AH90" s="68"/>
      <c r="AI90" s="68"/>
      <c r="AK90" s="68"/>
      <c r="AL90" s="68"/>
      <c r="AM90" s="68"/>
      <c r="AN90" s="68"/>
    </row>
    <row r="91" spans="1:40" ht="15.75" hidden="1" x14ac:dyDescent="0.15">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68"/>
      <c r="AC91" s="68"/>
      <c r="AD91" s="68"/>
      <c r="AE91" s="68"/>
      <c r="AF91" s="68"/>
      <c r="AG91" s="68"/>
      <c r="AH91" s="68"/>
      <c r="AI91" s="68"/>
      <c r="AK91" s="68"/>
      <c r="AL91" s="68"/>
      <c r="AM91" s="68"/>
      <c r="AN91" s="68"/>
    </row>
    <row r="92" spans="1:40" ht="15.75" hidden="1" x14ac:dyDescent="0.15">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68"/>
      <c r="AC92" s="68"/>
      <c r="AD92" s="68"/>
      <c r="AE92" s="68"/>
      <c r="AF92" s="68"/>
      <c r="AG92" s="68"/>
      <c r="AH92" s="68"/>
      <c r="AI92" s="68"/>
      <c r="AK92" s="68"/>
      <c r="AL92" s="68"/>
      <c r="AM92" s="68"/>
      <c r="AN92" s="68"/>
    </row>
    <row r="93" spans="1:40" ht="15.75" hidden="1" x14ac:dyDescent="0.15">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68"/>
      <c r="AC93" s="68"/>
      <c r="AD93" s="68"/>
      <c r="AE93" s="68"/>
      <c r="AF93" s="68"/>
      <c r="AG93" s="68"/>
      <c r="AH93" s="68"/>
      <c r="AI93" s="68"/>
      <c r="AK93" s="68"/>
      <c r="AL93" s="68"/>
      <c r="AM93" s="68"/>
      <c r="AN93" s="68"/>
    </row>
    <row r="94" spans="1:40" ht="15.75" hidden="1" x14ac:dyDescent="0.15">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68"/>
      <c r="AC94" s="68"/>
      <c r="AD94" s="68"/>
      <c r="AE94" s="68"/>
      <c r="AF94" s="68"/>
      <c r="AG94" s="68"/>
      <c r="AH94" s="68"/>
      <c r="AI94" s="68"/>
      <c r="AK94" s="68"/>
      <c r="AL94" s="68"/>
      <c r="AM94" s="68"/>
      <c r="AN94" s="68"/>
    </row>
    <row r="95" spans="1:40" ht="15.75" hidden="1" x14ac:dyDescent="0.15">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68"/>
      <c r="AC95" s="68"/>
      <c r="AD95" s="68"/>
      <c r="AE95" s="68"/>
      <c r="AF95" s="68"/>
      <c r="AG95" s="68"/>
      <c r="AH95" s="68"/>
      <c r="AI95" s="68"/>
      <c r="AK95" s="68"/>
      <c r="AL95" s="68"/>
      <c r="AM95" s="68"/>
      <c r="AN95" s="68"/>
    </row>
    <row r="96" spans="1:40" ht="15.75" hidden="1" x14ac:dyDescent="0.15">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68"/>
      <c r="AC96" s="68"/>
      <c r="AD96" s="68"/>
      <c r="AE96" s="68"/>
      <c r="AF96" s="68"/>
      <c r="AG96" s="68"/>
      <c r="AH96" s="68"/>
      <c r="AI96" s="68"/>
      <c r="AK96" s="68"/>
      <c r="AL96" s="68"/>
      <c r="AM96" s="68"/>
      <c r="AN96" s="68"/>
    </row>
    <row r="97" spans="1:43" ht="15.75" hidden="1" x14ac:dyDescent="0.1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68"/>
      <c r="AC97" s="68"/>
      <c r="AD97" s="68"/>
      <c r="AE97" s="68"/>
      <c r="AF97" s="68"/>
      <c r="AG97" s="68"/>
      <c r="AH97" s="68"/>
      <c r="AI97" s="68"/>
      <c r="AK97" s="68"/>
      <c r="AL97" s="68"/>
      <c r="AM97" s="68"/>
      <c r="AN97" s="68"/>
    </row>
    <row r="98" spans="1:43" ht="15.75" hidden="1" x14ac:dyDescent="0.1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68"/>
      <c r="AC98" s="68"/>
      <c r="AD98" s="68"/>
      <c r="AE98" s="68"/>
      <c r="AF98" s="68"/>
      <c r="AG98" s="68"/>
      <c r="AH98" s="68"/>
      <c r="AI98" s="68"/>
      <c r="AK98" s="68"/>
      <c r="AL98" s="68"/>
      <c r="AM98" s="68"/>
      <c r="AN98" s="68"/>
    </row>
    <row r="99" spans="1:43" ht="15.75" hidden="1" x14ac:dyDescent="0.1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68"/>
      <c r="AC99" s="68"/>
      <c r="AD99" s="68"/>
      <c r="AE99" s="68"/>
      <c r="AF99" s="68"/>
      <c r="AG99" s="68"/>
      <c r="AH99" s="68"/>
      <c r="AI99" s="68"/>
      <c r="AK99" s="68"/>
      <c r="AL99" s="68"/>
      <c r="AM99" s="68"/>
      <c r="AN99" s="68"/>
    </row>
    <row r="100" spans="1:43" ht="15.75" hidden="1" x14ac:dyDescent="0.15">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68"/>
      <c r="AC100" s="68"/>
      <c r="AD100" s="68"/>
      <c r="AE100" s="68"/>
      <c r="AF100" s="68"/>
      <c r="AG100" s="68"/>
      <c r="AH100" s="68"/>
      <c r="AI100" s="68"/>
      <c r="AK100" s="68"/>
      <c r="AL100" s="68"/>
      <c r="AM100" s="68"/>
      <c r="AN100" s="68"/>
    </row>
    <row r="101" spans="1:43" ht="15.75" hidden="1" x14ac:dyDescent="0.15">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68"/>
      <c r="AC101" s="68"/>
      <c r="AD101" s="68"/>
      <c r="AE101" s="68"/>
      <c r="AF101" s="68"/>
      <c r="AG101" s="68"/>
      <c r="AH101" s="68"/>
      <c r="AI101" s="68"/>
      <c r="AK101" s="68"/>
      <c r="AL101" s="68"/>
      <c r="AM101" s="68"/>
      <c r="AN101" s="68"/>
    </row>
    <row r="102" spans="1:43" ht="15.75" hidden="1" x14ac:dyDescent="0.15">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68"/>
      <c r="AC102" s="68"/>
      <c r="AD102" s="68"/>
      <c r="AE102" s="68"/>
      <c r="AF102" s="68"/>
      <c r="AG102" s="68"/>
      <c r="AH102" s="68"/>
      <c r="AI102" s="68"/>
      <c r="AK102" s="68"/>
      <c r="AL102" s="68"/>
      <c r="AM102" s="68"/>
      <c r="AN102" s="68"/>
    </row>
    <row r="103" spans="1:43" ht="15.75" hidden="1" x14ac:dyDescent="0.15">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68"/>
      <c r="AC103" s="68"/>
      <c r="AD103" s="68"/>
      <c r="AE103" s="68"/>
      <c r="AF103" s="68"/>
      <c r="AG103" s="68"/>
      <c r="AH103" s="68"/>
      <c r="AI103" s="68"/>
      <c r="AK103" s="68"/>
      <c r="AL103" s="68"/>
      <c r="AM103" s="68"/>
      <c r="AN103" s="68"/>
    </row>
    <row r="104" spans="1:43" ht="15.75" hidden="1" x14ac:dyDescent="0.15">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68"/>
      <c r="AC104" s="68"/>
      <c r="AD104" s="68"/>
      <c r="AE104" s="68"/>
      <c r="AF104" s="68"/>
      <c r="AG104" s="68"/>
      <c r="AH104" s="68"/>
      <c r="AI104" s="68"/>
      <c r="AK104" s="68"/>
      <c r="AL104" s="68"/>
      <c r="AM104" s="68"/>
      <c r="AN104" s="68"/>
    </row>
    <row r="105" spans="1:43" ht="15.75" hidden="1" x14ac:dyDescent="0.1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68"/>
      <c r="AC105" s="68"/>
      <c r="AD105" s="68"/>
      <c r="AE105" s="68"/>
      <c r="AF105" s="68"/>
      <c r="AG105" s="68"/>
      <c r="AH105" s="68"/>
      <c r="AI105" s="68"/>
      <c r="AK105" s="68"/>
      <c r="AL105" s="68"/>
      <c r="AM105" s="68"/>
      <c r="AN105" s="68"/>
    </row>
    <row r="106" spans="1:43" ht="15.75" hidden="1" x14ac:dyDescent="0.1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68"/>
      <c r="AC106" s="68"/>
      <c r="AD106" s="68"/>
      <c r="AE106" s="68"/>
      <c r="AF106" s="68"/>
      <c r="AG106" s="68"/>
      <c r="AH106" s="68"/>
      <c r="AI106" s="68"/>
      <c r="AK106" s="68"/>
      <c r="AL106" s="68"/>
      <c r="AM106" s="68"/>
      <c r="AN106" s="68"/>
    </row>
    <row r="107" spans="1:43" ht="17.25" thickBot="1" x14ac:dyDescent="0.2">
      <c r="A107" s="330" t="s">
        <v>770</v>
      </c>
      <c r="B107" s="199"/>
      <c r="C107" s="69"/>
      <c r="D107" s="69"/>
      <c r="E107" s="69"/>
      <c r="F107" s="69"/>
      <c r="G107" s="69"/>
      <c r="H107" s="69"/>
      <c r="I107" s="69"/>
      <c r="J107" s="69"/>
      <c r="K107" s="69"/>
      <c r="L107" s="69"/>
      <c r="M107" s="51" t="s">
        <v>108</v>
      </c>
      <c r="N107" s="51" t="s">
        <v>108</v>
      </c>
      <c r="O107" s="51" t="s">
        <v>108</v>
      </c>
      <c r="P107" s="51" t="s">
        <v>108</v>
      </c>
      <c r="Q107" s="51" t="s">
        <v>108</v>
      </c>
      <c r="R107" s="51"/>
      <c r="S107" s="68"/>
      <c r="T107" s="68"/>
      <c r="U107" s="68"/>
      <c r="V107" s="68"/>
      <c r="W107" s="51"/>
      <c r="X107" s="68"/>
      <c r="Y107" s="68"/>
      <c r="Z107" s="68"/>
      <c r="AA107" s="68"/>
      <c r="AB107" s="68"/>
      <c r="AC107" s="68"/>
      <c r="AD107" s="68"/>
      <c r="AE107" s="68"/>
      <c r="AF107" s="68"/>
      <c r="AG107" s="68"/>
      <c r="AH107" s="68"/>
      <c r="AI107" s="68"/>
      <c r="AJ107" s="68"/>
      <c r="AK107" s="68"/>
      <c r="AL107" s="68"/>
      <c r="AM107" s="68"/>
      <c r="AN107" s="68"/>
      <c r="AO107" s="68"/>
      <c r="AP107" s="68"/>
      <c r="AQ107" s="68"/>
    </row>
    <row r="108" spans="1:43" x14ac:dyDescent="0.15">
      <c r="A108" s="60" t="s">
        <v>101</v>
      </c>
      <c r="B108" s="60" t="s">
        <v>101</v>
      </c>
      <c r="C108" s="60"/>
      <c r="D108" s="70"/>
      <c r="E108" s="70"/>
      <c r="F108" s="70"/>
      <c r="G108" s="70"/>
      <c r="H108" s="71"/>
      <c r="I108" s="71"/>
      <c r="J108" s="60"/>
      <c r="K108" s="60"/>
      <c r="L108" s="70"/>
      <c r="M108" s="124"/>
      <c r="N108" s="124"/>
      <c r="O108" s="124"/>
      <c r="P108" s="124"/>
      <c r="Q108" s="124"/>
      <c r="R108" s="202"/>
      <c r="S108" s="56" t="s">
        <v>125</v>
      </c>
      <c r="T108" s="56"/>
      <c r="U108" s="172"/>
      <c r="V108" s="172"/>
      <c r="W108" s="200"/>
      <c r="X108" s="108" t="s">
        <v>61</v>
      </c>
      <c r="Y108" s="108"/>
      <c r="Z108" s="108"/>
      <c r="AA108" s="53"/>
      <c r="AB108" s="55"/>
      <c r="AC108" s="55"/>
      <c r="AD108" s="54"/>
      <c r="AE108" s="54"/>
      <c r="AF108" s="54"/>
      <c r="AG108" s="54"/>
      <c r="AH108" s="57"/>
      <c r="AI108" s="57"/>
      <c r="AJ108" s="58"/>
      <c r="AK108" s="56" t="s">
        <v>93</v>
      </c>
      <c r="AL108" s="57"/>
      <c r="AM108" s="57"/>
      <c r="AN108" s="57"/>
      <c r="AO108" s="72" t="s">
        <v>109</v>
      </c>
      <c r="AP108" s="130"/>
      <c r="AQ108" s="131"/>
    </row>
    <row r="109" spans="1:43" s="100" customFormat="1" ht="94.5" customHeight="1" x14ac:dyDescent="0.15">
      <c r="A109" s="98" t="s">
        <v>52</v>
      </c>
      <c r="B109" s="101"/>
      <c r="C109" s="61" t="s">
        <v>1175</v>
      </c>
      <c r="D109" s="61" t="s">
        <v>795</v>
      </c>
      <c r="E109" s="61" t="s">
        <v>796</v>
      </c>
      <c r="F109" s="61" t="s">
        <v>797</v>
      </c>
      <c r="G109" s="61" t="s">
        <v>773</v>
      </c>
      <c r="H109" s="61" t="s">
        <v>104</v>
      </c>
      <c r="I109" s="61" t="s">
        <v>104</v>
      </c>
      <c r="J109" s="61" t="s">
        <v>1176</v>
      </c>
      <c r="K109" s="61"/>
      <c r="L109" s="61" t="s">
        <v>1177</v>
      </c>
      <c r="M109" s="125" t="s">
        <v>105</v>
      </c>
      <c r="N109" s="125" t="s">
        <v>1162</v>
      </c>
      <c r="O109" s="125" t="s">
        <v>1151</v>
      </c>
      <c r="P109" s="125" t="s">
        <v>1152</v>
      </c>
      <c r="Q109" s="125" t="s">
        <v>1153</v>
      </c>
      <c r="R109" s="203"/>
      <c r="S109" s="65" t="s">
        <v>126</v>
      </c>
      <c r="T109" s="173" t="s">
        <v>743</v>
      </c>
      <c r="U109" s="173"/>
      <c r="V109" s="173" t="s">
        <v>889</v>
      </c>
      <c r="W109" s="201"/>
      <c r="X109" s="109" t="s">
        <v>100</v>
      </c>
      <c r="Y109" s="112" t="s">
        <v>110</v>
      </c>
      <c r="Z109" s="115" t="s">
        <v>111</v>
      </c>
      <c r="AA109" s="102" t="s">
        <v>112</v>
      </c>
      <c r="AB109" s="102" t="s">
        <v>883</v>
      </c>
      <c r="AC109" s="102" t="s">
        <v>884</v>
      </c>
      <c r="AD109" s="64" t="s">
        <v>885</v>
      </c>
      <c r="AE109" s="64" t="s">
        <v>886</v>
      </c>
      <c r="AF109" s="64" t="s">
        <v>96</v>
      </c>
      <c r="AG109" s="116" t="s">
        <v>97</v>
      </c>
      <c r="AH109" s="99" t="s">
        <v>106</v>
      </c>
      <c r="AI109" s="99" t="s">
        <v>107</v>
      </c>
      <c r="AJ109" s="104" t="s">
        <v>95</v>
      </c>
      <c r="AK109" s="65" t="s">
        <v>1155</v>
      </c>
      <c r="AL109" s="103" t="s">
        <v>113</v>
      </c>
      <c r="AM109" s="103" t="s">
        <v>887</v>
      </c>
      <c r="AN109" s="59" t="s">
        <v>94</v>
      </c>
      <c r="AO109" s="62" t="s">
        <v>98</v>
      </c>
      <c r="AP109" s="63" t="s">
        <v>99</v>
      </c>
      <c r="AQ109" s="73" t="s">
        <v>114</v>
      </c>
    </row>
    <row r="110" spans="1:43" ht="14.25" x14ac:dyDescent="0.15">
      <c r="A110" s="674" t="s">
        <v>53</v>
      </c>
      <c r="B110" s="105" t="s">
        <v>115</v>
      </c>
      <c r="C110" s="309">
        <f t="shared" ref="C110:G119" si="17">+C4*0.9</f>
        <v>40500</v>
      </c>
      <c r="D110" s="309">
        <f t="shared" si="17"/>
        <v>31500</v>
      </c>
      <c r="E110" s="309">
        <f t="shared" si="17"/>
        <v>31500</v>
      </c>
      <c r="F110" s="309">
        <f t="shared" si="17"/>
        <v>31500</v>
      </c>
      <c r="G110" s="309">
        <f t="shared" si="17"/>
        <v>31500</v>
      </c>
      <c r="H110" s="312"/>
      <c r="I110" s="312"/>
      <c r="J110" s="42" t="s">
        <v>1183</v>
      </c>
      <c r="K110" s="309"/>
      <c r="L110" s="309">
        <f t="shared" ref="L110:L122" si="18">+L4*0.9</f>
        <v>36000</v>
      </c>
      <c r="M110" s="313"/>
      <c r="N110" s="313"/>
      <c r="O110" s="313"/>
      <c r="P110" s="313"/>
      <c r="Q110" s="313"/>
      <c r="R110" s="107"/>
      <c r="S110" s="77">
        <v>25000</v>
      </c>
      <c r="T110" s="41"/>
      <c r="U110" s="41"/>
      <c r="V110" s="41"/>
      <c r="W110" s="320"/>
      <c r="X110" s="110">
        <v>2000</v>
      </c>
      <c r="Y110" s="113">
        <v>2000</v>
      </c>
      <c r="Z110" s="363">
        <f t="shared" ref="Z110:AL110" si="19">+Z4*0.9</f>
        <v>4050</v>
      </c>
      <c r="AA110" s="364">
        <f t="shared" si="19"/>
        <v>16200</v>
      </c>
      <c r="AB110" s="364">
        <f t="shared" si="19"/>
        <v>8100</v>
      </c>
      <c r="AC110" s="364">
        <f t="shared" si="19"/>
        <v>16200</v>
      </c>
      <c r="AD110" s="364">
        <f t="shared" si="19"/>
        <v>8100</v>
      </c>
      <c r="AE110" s="364">
        <f t="shared" si="19"/>
        <v>16200</v>
      </c>
      <c r="AF110" s="364">
        <f t="shared" si="19"/>
        <v>16200</v>
      </c>
      <c r="AG110" s="365">
        <f t="shared" si="19"/>
        <v>16200</v>
      </c>
      <c r="AH110" s="78">
        <v>180000</v>
      </c>
      <c r="AI110" s="78">
        <v>360000</v>
      </c>
      <c r="AJ110" s="79">
        <v>60000</v>
      </c>
      <c r="AK110" s="366">
        <f t="shared" si="19"/>
        <v>8100</v>
      </c>
      <c r="AL110" s="364">
        <f t="shared" si="19"/>
        <v>8100</v>
      </c>
      <c r="AM110" s="75">
        <v>150000</v>
      </c>
      <c r="AN110" s="78">
        <v>60000</v>
      </c>
      <c r="AO110" s="367">
        <f t="shared" ref="AO110:AQ122" si="20">+AO4*0.9</f>
        <v>24300</v>
      </c>
      <c r="AP110" s="364">
        <f t="shared" si="20"/>
        <v>16200</v>
      </c>
      <c r="AQ110" s="364">
        <f t="shared" si="20"/>
        <v>8100</v>
      </c>
    </row>
    <row r="111" spans="1:43" ht="15" thickBot="1" x14ac:dyDescent="0.2">
      <c r="A111" s="677"/>
      <c r="B111" s="82" t="s">
        <v>116</v>
      </c>
      <c r="C111" s="310">
        <f t="shared" si="17"/>
        <v>58500</v>
      </c>
      <c r="D111" s="310">
        <f t="shared" si="17"/>
        <v>40500</v>
      </c>
      <c r="E111" s="310">
        <f t="shared" si="17"/>
        <v>40500</v>
      </c>
      <c r="F111" s="310">
        <f t="shared" si="17"/>
        <v>40500</v>
      </c>
      <c r="G111" s="310">
        <f t="shared" si="17"/>
        <v>40500</v>
      </c>
      <c r="H111" s="314"/>
      <c r="I111" s="314"/>
      <c r="J111" s="43" t="s">
        <v>1183</v>
      </c>
      <c r="K111" s="310"/>
      <c r="L111" s="310">
        <f t="shared" si="18"/>
        <v>45000</v>
      </c>
      <c r="M111" s="359"/>
      <c r="N111" s="359"/>
      <c r="O111" s="359"/>
      <c r="P111" s="359"/>
      <c r="Q111" s="359"/>
      <c r="R111" s="40"/>
      <c r="S111" s="80">
        <v>25000</v>
      </c>
      <c r="T111" s="41"/>
      <c r="U111" s="41"/>
      <c r="V111" s="41"/>
      <c r="W111" s="324"/>
      <c r="X111" s="111">
        <v>2000</v>
      </c>
      <c r="Y111" s="114">
        <v>2000</v>
      </c>
      <c r="Z111" s="368">
        <f t="shared" ref="Z111:AL111" si="21">+Z5*0.9</f>
        <v>5850</v>
      </c>
      <c r="AA111" s="367">
        <f t="shared" si="21"/>
        <v>23400</v>
      </c>
      <c r="AB111" s="367">
        <f t="shared" si="21"/>
        <v>11700</v>
      </c>
      <c r="AC111" s="367">
        <f t="shared" si="21"/>
        <v>23400</v>
      </c>
      <c r="AD111" s="367">
        <f t="shared" si="21"/>
        <v>11700</v>
      </c>
      <c r="AE111" s="367">
        <f t="shared" si="21"/>
        <v>23400</v>
      </c>
      <c r="AF111" s="367">
        <f t="shared" si="21"/>
        <v>23400</v>
      </c>
      <c r="AG111" s="369">
        <f t="shared" si="21"/>
        <v>23400</v>
      </c>
      <c r="AH111" s="78">
        <v>180000</v>
      </c>
      <c r="AI111" s="78">
        <v>360000</v>
      </c>
      <c r="AJ111" s="79">
        <v>60000</v>
      </c>
      <c r="AK111" s="370">
        <f t="shared" si="21"/>
        <v>11700</v>
      </c>
      <c r="AL111" s="367">
        <f t="shared" si="21"/>
        <v>11700</v>
      </c>
      <c r="AM111" s="78">
        <v>150000</v>
      </c>
      <c r="AN111" s="78">
        <v>60000</v>
      </c>
      <c r="AO111" s="367">
        <f t="shared" si="20"/>
        <v>35100</v>
      </c>
      <c r="AP111" s="367">
        <f t="shared" si="20"/>
        <v>23400</v>
      </c>
      <c r="AQ111" s="367">
        <f t="shared" si="20"/>
        <v>11700</v>
      </c>
    </row>
    <row r="112" spans="1:43" ht="14.25" x14ac:dyDescent="0.15">
      <c r="A112" s="343" t="s">
        <v>117</v>
      </c>
      <c r="B112" s="84" t="s">
        <v>920</v>
      </c>
      <c r="C112" s="360">
        <f t="shared" si="17"/>
        <v>55800</v>
      </c>
      <c r="D112" s="360">
        <f t="shared" si="17"/>
        <v>36000</v>
      </c>
      <c r="E112" s="360">
        <f t="shared" si="17"/>
        <v>36000</v>
      </c>
      <c r="F112" s="360">
        <f t="shared" si="17"/>
        <v>36000</v>
      </c>
      <c r="G112" s="360">
        <f t="shared" si="17"/>
        <v>36000</v>
      </c>
      <c r="H112" s="86"/>
      <c r="I112" s="86"/>
      <c r="J112" s="700" t="s">
        <v>1183</v>
      </c>
      <c r="K112" s="360"/>
      <c r="L112" s="360">
        <f t="shared" si="18"/>
        <v>40500</v>
      </c>
      <c r="M112" s="361">
        <f t="shared" ref="M112:Q122" si="22">+M6*0.9</f>
        <v>48600</v>
      </c>
      <c r="N112" s="361">
        <f t="shared" ref="N112:P112" si="23">+N6*0.9</f>
        <v>58320</v>
      </c>
      <c r="O112" s="361">
        <f t="shared" si="23"/>
        <v>58320</v>
      </c>
      <c r="P112" s="361">
        <f t="shared" si="23"/>
        <v>68040</v>
      </c>
      <c r="Q112" s="361">
        <f t="shared" si="22"/>
        <v>4860</v>
      </c>
      <c r="R112" s="40"/>
      <c r="S112" s="80">
        <v>25000</v>
      </c>
      <c r="T112" s="376"/>
      <c r="U112" s="376"/>
      <c r="V112" s="376"/>
      <c r="W112" s="324"/>
      <c r="X112" s="111">
        <v>2000</v>
      </c>
      <c r="Y112" s="114">
        <v>2000</v>
      </c>
      <c r="Z112" s="368">
        <f t="shared" ref="Z112:AL112" si="24">+Z6*0.9</f>
        <v>5580</v>
      </c>
      <c r="AA112" s="367">
        <f t="shared" si="24"/>
        <v>22320</v>
      </c>
      <c r="AB112" s="367">
        <f t="shared" si="24"/>
        <v>11160</v>
      </c>
      <c r="AC112" s="367">
        <f t="shared" si="24"/>
        <v>22320</v>
      </c>
      <c r="AD112" s="367">
        <f t="shared" si="24"/>
        <v>11160</v>
      </c>
      <c r="AE112" s="367">
        <f t="shared" si="24"/>
        <v>22320</v>
      </c>
      <c r="AF112" s="367">
        <f t="shared" si="24"/>
        <v>22320</v>
      </c>
      <c r="AG112" s="369">
        <f t="shared" si="24"/>
        <v>22320</v>
      </c>
      <c r="AH112" s="89">
        <v>180000</v>
      </c>
      <c r="AI112" s="89">
        <v>360000</v>
      </c>
      <c r="AJ112" s="90">
        <v>60000</v>
      </c>
      <c r="AK112" s="370">
        <f t="shared" si="24"/>
        <v>11160</v>
      </c>
      <c r="AL112" s="367">
        <f t="shared" si="24"/>
        <v>11160</v>
      </c>
      <c r="AM112" s="87">
        <v>150000</v>
      </c>
      <c r="AN112" s="87">
        <v>60000</v>
      </c>
      <c r="AO112" s="367">
        <f t="shared" si="20"/>
        <v>33480</v>
      </c>
      <c r="AP112" s="367">
        <f t="shared" si="20"/>
        <v>22320</v>
      </c>
      <c r="AQ112" s="367">
        <f t="shared" si="20"/>
        <v>11160</v>
      </c>
    </row>
    <row r="113" spans="1:43" ht="14.25" x14ac:dyDescent="0.15">
      <c r="A113" s="343"/>
      <c r="B113" s="105" t="s">
        <v>921</v>
      </c>
      <c r="C113" s="357">
        <f t="shared" si="17"/>
        <v>77400</v>
      </c>
      <c r="D113" s="357">
        <f t="shared" si="17"/>
        <v>45000</v>
      </c>
      <c r="E113" s="357">
        <f t="shared" si="17"/>
        <v>45000</v>
      </c>
      <c r="F113" s="357">
        <f t="shared" si="17"/>
        <v>45000</v>
      </c>
      <c r="G113" s="357">
        <f t="shared" si="17"/>
        <v>45000</v>
      </c>
      <c r="H113" s="41"/>
      <c r="I113" s="41"/>
      <c r="J113" s="701" t="s">
        <v>1183</v>
      </c>
      <c r="K113" s="357"/>
      <c r="L113" s="357">
        <f t="shared" si="18"/>
        <v>49500</v>
      </c>
      <c r="M113" s="358">
        <f t="shared" si="22"/>
        <v>59400</v>
      </c>
      <c r="N113" s="358">
        <f t="shared" ref="N113:P113" si="25">+N7*0.9</f>
        <v>71280</v>
      </c>
      <c r="O113" s="358">
        <f t="shared" si="25"/>
        <v>71280</v>
      </c>
      <c r="P113" s="358">
        <f t="shared" si="25"/>
        <v>83160</v>
      </c>
      <c r="Q113" s="358">
        <f t="shared" si="22"/>
        <v>5940</v>
      </c>
      <c r="R113" s="40"/>
      <c r="S113" s="80">
        <v>25000</v>
      </c>
      <c r="T113" s="376"/>
      <c r="U113" s="376"/>
      <c r="V113" s="376"/>
      <c r="W113" s="324"/>
      <c r="X113" s="111">
        <v>2000</v>
      </c>
      <c r="Y113" s="114">
        <v>2000</v>
      </c>
      <c r="Z113" s="368">
        <f t="shared" ref="Z113:AL113" si="26">+Z7*0.9</f>
        <v>7740</v>
      </c>
      <c r="AA113" s="367">
        <f t="shared" si="26"/>
        <v>30960</v>
      </c>
      <c r="AB113" s="367">
        <f t="shared" si="26"/>
        <v>15480</v>
      </c>
      <c r="AC113" s="367">
        <f t="shared" si="26"/>
        <v>30960</v>
      </c>
      <c r="AD113" s="367">
        <f t="shared" si="26"/>
        <v>15480</v>
      </c>
      <c r="AE113" s="367">
        <f t="shared" si="26"/>
        <v>30960</v>
      </c>
      <c r="AF113" s="367">
        <f t="shared" si="26"/>
        <v>30960</v>
      </c>
      <c r="AG113" s="369">
        <f t="shared" si="26"/>
        <v>30960</v>
      </c>
      <c r="AH113" s="75">
        <v>180000</v>
      </c>
      <c r="AI113" s="75">
        <v>360000</v>
      </c>
      <c r="AJ113" s="76">
        <v>60000</v>
      </c>
      <c r="AK113" s="370">
        <f t="shared" si="26"/>
        <v>15480</v>
      </c>
      <c r="AL113" s="367">
        <f t="shared" si="26"/>
        <v>15480</v>
      </c>
      <c r="AM113" s="75">
        <v>150000</v>
      </c>
      <c r="AN113" s="75">
        <v>60000</v>
      </c>
      <c r="AO113" s="367">
        <f t="shared" si="20"/>
        <v>46440</v>
      </c>
      <c r="AP113" s="367">
        <f t="shared" si="20"/>
        <v>30960</v>
      </c>
      <c r="AQ113" s="367">
        <f t="shared" si="20"/>
        <v>15480</v>
      </c>
    </row>
    <row r="114" spans="1:43" ht="15" thickBot="1" x14ac:dyDescent="0.2">
      <c r="A114" s="343"/>
      <c r="B114" s="82" t="s">
        <v>941</v>
      </c>
      <c r="C114" s="357">
        <f t="shared" si="17"/>
        <v>109800</v>
      </c>
      <c r="D114" s="357">
        <f t="shared" si="17"/>
        <v>79200</v>
      </c>
      <c r="E114" s="357">
        <f t="shared" si="17"/>
        <v>79200</v>
      </c>
      <c r="F114" s="357">
        <f t="shared" si="17"/>
        <v>79200</v>
      </c>
      <c r="G114" s="357">
        <f t="shared" si="17"/>
        <v>79200</v>
      </c>
      <c r="H114" s="83"/>
      <c r="I114" s="83"/>
      <c r="J114" s="701" t="s">
        <v>1183</v>
      </c>
      <c r="K114" s="357"/>
      <c r="L114" s="357">
        <f t="shared" si="18"/>
        <v>81000</v>
      </c>
      <c r="M114" s="358">
        <f t="shared" si="22"/>
        <v>97200</v>
      </c>
      <c r="N114" s="358">
        <f t="shared" ref="N114:P114" si="27">+N8*0.9</f>
        <v>116640</v>
      </c>
      <c r="O114" s="358">
        <f t="shared" si="27"/>
        <v>116640</v>
      </c>
      <c r="P114" s="358">
        <f t="shared" si="27"/>
        <v>136080</v>
      </c>
      <c r="Q114" s="358">
        <f t="shared" si="22"/>
        <v>9720</v>
      </c>
      <c r="R114" s="40"/>
      <c r="S114" s="80">
        <v>25000</v>
      </c>
      <c r="T114" s="376"/>
      <c r="U114" s="376"/>
      <c r="V114" s="376"/>
      <c r="W114" s="324"/>
      <c r="X114" s="111">
        <v>2000</v>
      </c>
      <c r="Y114" s="114">
        <v>2000</v>
      </c>
      <c r="Z114" s="368">
        <f t="shared" ref="Z114:AL114" si="28">+Z8*0.9</f>
        <v>10980</v>
      </c>
      <c r="AA114" s="367">
        <f t="shared" si="28"/>
        <v>43920</v>
      </c>
      <c r="AB114" s="367">
        <f t="shared" si="28"/>
        <v>21960</v>
      </c>
      <c r="AC114" s="367">
        <f t="shared" si="28"/>
        <v>43920</v>
      </c>
      <c r="AD114" s="367">
        <f t="shared" si="28"/>
        <v>21960</v>
      </c>
      <c r="AE114" s="367">
        <f t="shared" si="28"/>
        <v>43920</v>
      </c>
      <c r="AF114" s="367">
        <f t="shared" si="28"/>
        <v>43920</v>
      </c>
      <c r="AG114" s="369">
        <f t="shared" si="28"/>
        <v>43920</v>
      </c>
      <c r="AH114" s="93">
        <v>180000</v>
      </c>
      <c r="AI114" s="93">
        <v>360000</v>
      </c>
      <c r="AJ114" s="94">
        <v>60000</v>
      </c>
      <c r="AK114" s="370">
        <f t="shared" si="28"/>
        <v>21960</v>
      </c>
      <c r="AL114" s="367">
        <f t="shared" si="28"/>
        <v>21960</v>
      </c>
      <c r="AM114" s="93">
        <v>150000</v>
      </c>
      <c r="AN114" s="93">
        <v>60000</v>
      </c>
      <c r="AO114" s="367">
        <f t="shared" si="20"/>
        <v>65880</v>
      </c>
      <c r="AP114" s="367">
        <f t="shared" si="20"/>
        <v>43920</v>
      </c>
      <c r="AQ114" s="367">
        <f t="shared" si="20"/>
        <v>21960</v>
      </c>
    </row>
    <row r="115" spans="1:43" ht="15" thickBot="1" x14ac:dyDescent="0.2">
      <c r="A115" s="343"/>
      <c r="B115" s="82" t="s">
        <v>942</v>
      </c>
      <c r="C115" s="357">
        <f t="shared" si="17"/>
        <v>109800</v>
      </c>
      <c r="D115" s="357">
        <f t="shared" si="17"/>
        <v>79200</v>
      </c>
      <c r="E115" s="357">
        <f t="shared" si="17"/>
        <v>79200</v>
      </c>
      <c r="F115" s="357">
        <f t="shared" si="17"/>
        <v>79200</v>
      </c>
      <c r="G115" s="357">
        <f t="shared" si="17"/>
        <v>79200</v>
      </c>
      <c r="H115" s="83"/>
      <c r="I115" s="83"/>
      <c r="J115" s="701" t="s">
        <v>1183</v>
      </c>
      <c r="K115" s="357"/>
      <c r="L115" s="357">
        <f t="shared" si="18"/>
        <v>81000</v>
      </c>
      <c r="M115" s="358">
        <f t="shared" si="22"/>
        <v>97200</v>
      </c>
      <c r="N115" s="358">
        <f t="shared" ref="N115:P115" si="29">+N9*0.9</f>
        <v>116640</v>
      </c>
      <c r="O115" s="358">
        <f t="shared" si="29"/>
        <v>116640</v>
      </c>
      <c r="P115" s="358">
        <f t="shared" si="29"/>
        <v>136080</v>
      </c>
      <c r="Q115" s="358">
        <f t="shared" si="22"/>
        <v>9720</v>
      </c>
      <c r="R115" s="40"/>
      <c r="S115" s="80">
        <v>25000</v>
      </c>
      <c r="T115" s="376"/>
      <c r="U115" s="376"/>
      <c r="V115" s="376"/>
      <c r="W115" s="324"/>
      <c r="X115" s="111">
        <v>2000</v>
      </c>
      <c r="Y115" s="114">
        <v>2000</v>
      </c>
      <c r="Z115" s="368">
        <f t="shared" ref="Z115:AL115" si="30">+Z9*0.9</f>
        <v>10980</v>
      </c>
      <c r="AA115" s="367">
        <f t="shared" si="30"/>
        <v>43920</v>
      </c>
      <c r="AB115" s="367">
        <f t="shared" si="30"/>
        <v>21960</v>
      </c>
      <c r="AC115" s="367">
        <f t="shared" si="30"/>
        <v>43920</v>
      </c>
      <c r="AD115" s="367">
        <f t="shared" si="30"/>
        <v>21960</v>
      </c>
      <c r="AE115" s="367">
        <f t="shared" si="30"/>
        <v>43920</v>
      </c>
      <c r="AF115" s="367">
        <f t="shared" si="30"/>
        <v>43920</v>
      </c>
      <c r="AG115" s="369">
        <f t="shared" si="30"/>
        <v>43920</v>
      </c>
      <c r="AH115" s="93">
        <v>180000</v>
      </c>
      <c r="AI115" s="93">
        <v>360000</v>
      </c>
      <c r="AJ115" s="94">
        <v>60000</v>
      </c>
      <c r="AK115" s="370">
        <f t="shared" si="30"/>
        <v>21960</v>
      </c>
      <c r="AL115" s="367">
        <f t="shared" si="30"/>
        <v>21960</v>
      </c>
      <c r="AM115" s="93">
        <v>150000</v>
      </c>
      <c r="AN115" s="93">
        <v>60000</v>
      </c>
      <c r="AO115" s="367">
        <f t="shared" si="20"/>
        <v>65880</v>
      </c>
      <c r="AP115" s="367">
        <f t="shared" si="20"/>
        <v>43920</v>
      </c>
      <c r="AQ115" s="367">
        <f t="shared" si="20"/>
        <v>21960</v>
      </c>
    </row>
    <row r="116" spans="1:43" ht="14.25" x14ac:dyDescent="0.15">
      <c r="A116" s="675" t="s">
        <v>122</v>
      </c>
      <c r="B116" s="84" t="s">
        <v>66</v>
      </c>
      <c r="C116" s="311">
        <f t="shared" si="17"/>
        <v>70200</v>
      </c>
      <c r="D116" s="311">
        <f t="shared" si="17"/>
        <v>48600</v>
      </c>
      <c r="E116" s="311">
        <f t="shared" si="17"/>
        <v>48600</v>
      </c>
      <c r="F116" s="311">
        <f t="shared" si="17"/>
        <v>48600</v>
      </c>
      <c r="G116" s="311">
        <f t="shared" si="17"/>
        <v>48600</v>
      </c>
      <c r="H116" s="311">
        <f t="shared" ref="H116:I122" si="31">+H10*0.9</f>
        <v>129600</v>
      </c>
      <c r="I116" s="311">
        <f t="shared" si="31"/>
        <v>155520</v>
      </c>
      <c r="J116" s="85" t="s">
        <v>1183</v>
      </c>
      <c r="K116" s="311"/>
      <c r="L116" s="311">
        <f t="shared" si="18"/>
        <v>52200</v>
      </c>
      <c r="M116" s="362">
        <f t="shared" si="22"/>
        <v>63000</v>
      </c>
      <c r="N116" s="362">
        <f t="shared" ref="N116:P116" si="32">+N10*0.9</f>
        <v>75600</v>
      </c>
      <c r="O116" s="362">
        <f t="shared" si="32"/>
        <v>75600</v>
      </c>
      <c r="P116" s="362">
        <f t="shared" si="32"/>
        <v>88200</v>
      </c>
      <c r="Q116" s="362">
        <f t="shared" si="22"/>
        <v>6300</v>
      </c>
      <c r="R116" s="155"/>
      <c r="S116" s="88">
        <v>25000</v>
      </c>
      <c r="T116" s="120">
        <v>60000</v>
      </c>
      <c r="U116" s="120"/>
      <c r="V116" s="120">
        <v>3000</v>
      </c>
      <c r="W116" s="329"/>
      <c r="X116" s="110">
        <v>2000</v>
      </c>
      <c r="Y116" s="113">
        <v>2000</v>
      </c>
      <c r="Z116" s="363">
        <f t="shared" ref="Z116:AL116" si="33">+Z10*0.9</f>
        <v>7020</v>
      </c>
      <c r="AA116" s="364">
        <f t="shared" si="33"/>
        <v>28080</v>
      </c>
      <c r="AB116" s="364">
        <f t="shared" si="33"/>
        <v>14040</v>
      </c>
      <c r="AC116" s="364">
        <f t="shared" si="33"/>
        <v>28080</v>
      </c>
      <c r="AD116" s="364">
        <f t="shared" si="33"/>
        <v>14040</v>
      </c>
      <c r="AE116" s="364">
        <f t="shared" si="33"/>
        <v>28080</v>
      </c>
      <c r="AF116" s="364">
        <f t="shared" si="33"/>
        <v>28080</v>
      </c>
      <c r="AG116" s="365">
        <f t="shared" si="33"/>
        <v>28080</v>
      </c>
      <c r="AH116" s="92">
        <v>180000</v>
      </c>
      <c r="AI116" s="92">
        <v>360000</v>
      </c>
      <c r="AJ116" s="119">
        <v>60000</v>
      </c>
      <c r="AK116" s="366">
        <f t="shared" si="33"/>
        <v>14040</v>
      </c>
      <c r="AL116" s="364">
        <f t="shared" si="33"/>
        <v>14040</v>
      </c>
      <c r="AM116" s="92">
        <v>150000</v>
      </c>
      <c r="AN116" s="92">
        <v>60000</v>
      </c>
      <c r="AO116" s="364">
        <f t="shared" si="20"/>
        <v>42120</v>
      </c>
      <c r="AP116" s="364">
        <f t="shared" si="20"/>
        <v>28080</v>
      </c>
      <c r="AQ116" s="364">
        <f t="shared" si="20"/>
        <v>14040</v>
      </c>
    </row>
    <row r="117" spans="1:43" ht="14.25" x14ac:dyDescent="0.15">
      <c r="A117" s="343"/>
      <c r="B117" s="91" t="s">
        <v>67</v>
      </c>
      <c r="C117" s="309">
        <f t="shared" si="17"/>
        <v>91800</v>
      </c>
      <c r="D117" s="309">
        <f t="shared" si="17"/>
        <v>55800</v>
      </c>
      <c r="E117" s="309">
        <f t="shared" si="17"/>
        <v>55800</v>
      </c>
      <c r="F117" s="309">
        <f t="shared" si="17"/>
        <v>55800</v>
      </c>
      <c r="G117" s="309">
        <f t="shared" si="17"/>
        <v>55800</v>
      </c>
      <c r="H117" s="309">
        <f t="shared" si="31"/>
        <v>151200</v>
      </c>
      <c r="I117" s="309">
        <f t="shared" si="31"/>
        <v>181440</v>
      </c>
      <c r="J117" s="42" t="s">
        <v>1183</v>
      </c>
      <c r="K117" s="309"/>
      <c r="L117" s="309">
        <f t="shared" si="18"/>
        <v>57600</v>
      </c>
      <c r="M117" s="316">
        <f t="shared" si="22"/>
        <v>69300</v>
      </c>
      <c r="N117" s="316">
        <f t="shared" ref="N117:P117" si="34">+N11*0.9</f>
        <v>83160</v>
      </c>
      <c r="O117" s="316">
        <f t="shared" si="34"/>
        <v>83160</v>
      </c>
      <c r="P117" s="316">
        <f t="shared" si="34"/>
        <v>97020</v>
      </c>
      <c r="Q117" s="316">
        <f t="shared" si="22"/>
        <v>6930</v>
      </c>
      <c r="R117" s="107"/>
      <c r="S117" s="77">
        <v>25000</v>
      </c>
      <c r="T117" s="110">
        <v>60000</v>
      </c>
      <c r="U117" s="110"/>
      <c r="V117" s="110">
        <v>3000</v>
      </c>
      <c r="W117" s="320"/>
      <c r="X117" s="110">
        <v>2000</v>
      </c>
      <c r="Y117" s="113">
        <v>2000</v>
      </c>
      <c r="Z117" s="363">
        <f t="shared" ref="Z117:AL117" si="35">+Z11*0.9</f>
        <v>9180</v>
      </c>
      <c r="AA117" s="364">
        <f t="shared" si="35"/>
        <v>36720</v>
      </c>
      <c r="AB117" s="364">
        <f t="shared" si="35"/>
        <v>18360</v>
      </c>
      <c r="AC117" s="364">
        <f t="shared" si="35"/>
        <v>36720</v>
      </c>
      <c r="AD117" s="364">
        <f t="shared" si="35"/>
        <v>18360</v>
      </c>
      <c r="AE117" s="364">
        <f t="shared" si="35"/>
        <v>36720</v>
      </c>
      <c r="AF117" s="364">
        <f t="shared" si="35"/>
        <v>36720</v>
      </c>
      <c r="AG117" s="365">
        <f t="shared" si="35"/>
        <v>36720</v>
      </c>
      <c r="AH117" s="78">
        <v>180000</v>
      </c>
      <c r="AI117" s="78">
        <v>360000</v>
      </c>
      <c r="AJ117" s="79">
        <v>60000</v>
      </c>
      <c r="AK117" s="366">
        <f t="shared" si="35"/>
        <v>18360</v>
      </c>
      <c r="AL117" s="364">
        <f t="shared" si="35"/>
        <v>18360</v>
      </c>
      <c r="AM117" s="75">
        <v>150000</v>
      </c>
      <c r="AN117" s="75">
        <v>60000</v>
      </c>
      <c r="AO117" s="364">
        <f t="shared" si="20"/>
        <v>55080</v>
      </c>
      <c r="AP117" s="364">
        <f t="shared" si="20"/>
        <v>36720</v>
      </c>
      <c r="AQ117" s="364">
        <f t="shared" si="20"/>
        <v>18360</v>
      </c>
    </row>
    <row r="118" spans="1:43" ht="14.25" x14ac:dyDescent="0.15">
      <c r="A118" s="343"/>
      <c r="B118" s="91" t="s">
        <v>997</v>
      </c>
      <c r="C118" s="309">
        <f t="shared" si="17"/>
        <v>113400</v>
      </c>
      <c r="D118" s="309">
        <f t="shared" si="17"/>
        <v>81000</v>
      </c>
      <c r="E118" s="309">
        <f t="shared" si="17"/>
        <v>81000</v>
      </c>
      <c r="F118" s="309">
        <f t="shared" si="17"/>
        <v>81000</v>
      </c>
      <c r="G118" s="309">
        <f t="shared" si="17"/>
        <v>81000</v>
      </c>
      <c r="H118" s="309">
        <f t="shared" si="31"/>
        <v>172800</v>
      </c>
      <c r="I118" s="309">
        <f t="shared" si="31"/>
        <v>207360</v>
      </c>
      <c r="J118" s="42" t="s">
        <v>1183</v>
      </c>
      <c r="K118" s="309"/>
      <c r="L118" s="309">
        <f t="shared" si="18"/>
        <v>81000</v>
      </c>
      <c r="M118" s="316">
        <f t="shared" si="22"/>
        <v>97200</v>
      </c>
      <c r="N118" s="316">
        <f t="shared" ref="N118:P118" si="36">+N12*0.9</f>
        <v>116640</v>
      </c>
      <c r="O118" s="316">
        <f t="shared" si="36"/>
        <v>116640</v>
      </c>
      <c r="P118" s="316">
        <f t="shared" si="36"/>
        <v>136080</v>
      </c>
      <c r="Q118" s="316">
        <f t="shared" si="22"/>
        <v>9720</v>
      </c>
      <c r="R118" s="107"/>
      <c r="S118" s="77">
        <v>25000</v>
      </c>
      <c r="T118" s="110">
        <v>60000</v>
      </c>
      <c r="U118" s="110"/>
      <c r="V118" s="110">
        <v>3000</v>
      </c>
      <c r="W118" s="320"/>
      <c r="X118" s="110">
        <v>2000</v>
      </c>
      <c r="Y118" s="113">
        <v>2000</v>
      </c>
      <c r="Z118" s="363">
        <f t="shared" ref="Z118:AL118" si="37">+Z12*0.9</f>
        <v>11340</v>
      </c>
      <c r="AA118" s="364">
        <f t="shared" si="37"/>
        <v>45360</v>
      </c>
      <c r="AB118" s="364">
        <f t="shared" si="37"/>
        <v>22680</v>
      </c>
      <c r="AC118" s="364">
        <f t="shared" si="37"/>
        <v>45360</v>
      </c>
      <c r="AD118" s="364">
        <f t="shared" si="37"/>
        <v>22680</v>
      </c>
      <c r="AE118" s="364">
        <f t="shared" si="37"/>
        <v>45360</v>
      </c>
      <c r="AF118" s="364">
        <f t="shared" si="37"/>
        <v>45360</v>
      </c>
      <c r="AG118" s="365">
        <f t="shared" si="37"/>
        <v>45360</v>
      </c>
      <c r="AH118" s="75">
        <v>180000</v>
      </c>
      <c r="AI118" s="75">
        <v>360000</v>
      </c>
      <c r="AJ118" s="76">
        <v>60000</v>
      </c>
      <c r="AK118" s="366">
        <f t="shared" si="37"/>
        <v>22680</v>
      </c>
      <c r="AL118" s="364">
        <f t="shared" si="37"/>
        <v>22680</v>
      </c>
      <c r="AM118" s="75">
        <v>150000</v>
      </c>
      <c r="AN118" s="75">
        <v>60000</v>
      </c>
      <c r="AO118" s="364">
        <f t="shared" si="20"/>
        <v>68040</v>
      </c>
      <c r="AP118" s="364">
        <f t="shared" si="20"/>
        <v>45360</v>
      </c>
      <c r="AQ118" s="364">
        <f t="shared" si="20"/>
        <v>22680</v>
      </c>
    </row>
    <row r="119" spans="1:43" ht="14.25" x14ac:dyDescent="0.15">
      <c r="A119" s="343"/>
      <c r="B119" s="91" t="s">
        <v>998</v>
      </c>
      <c r="C119" s="309">
        <f t="shared" si="17"/>
        <v>113400</v>
      </c>
      <c r="D119" s="309">
        <f t="shared" si="17"/>
        <v>81000</v>
      </c>
      <c r="E119" s="309">
        <f t="shared" si="17"/>
        <v>81000</v>
      </c>
      <c r="F119" s="309">
        <f t="shared" si="17"/>
        <v>81000</v>
      </c>
      <c r="G119" s="309">
        <f t="shared" si="17"/>
        <v>81000</v>
      </c>
      <c r="H119" s="309">
        <f t="shared" si="31"/>
        <v>172800</v>
      </c>
      <c r="I119" s="309">
        <f t="shared" si="31"/>
        <v>207360</v>
      </c>
      <c r="J119" s="42" t="s">
        <v>1183</v>
      </c>
      <c r="K119" s="309"/>
      <c r="L119" s="309">
        <f t="shared" si="18"/>
        <v>81000</v>
      </c>
      <c r="M119" s="316">
        <f t="shared" si="22"/>
        <v>97200</v>
      </c>
      <c r="N119" s="316">
        <f t="shared" ref="N119:P119" si="38">+N13*0.9</f>
        <v>116640</v>
      </c>
      <c r="O119" s="316">
        <f t="shared" si="38"/>
        <v>116640</v>
      </c>
      <c r="P119" s="316">
        <f t="shared" si="38"/>
        <v>136080</v>
      </c>
      <c r="Q119" s="316">
        <f t="shared" si="22"/>
        <v>9720</v>
      </c>
      <c r="R119" s="107"/>
      <c r="S119" s="77">
        <v>25000</v>
      </c>
      <c r="T119" s="110">
        <v>60000</v>
      </c>
      <c r="U119" s="110"/>
      <c r="V119" s="110">
        <v>3000</v>
      </c>
      <c r="W119" s="320"/>
      <c r="X119" s="110">
        <v>2000</v>
      </c>
      <c r="Y119" s="113">
        <v>2000</v>
      </c>
      <c r="Z119" s="363">
        <f t="shared" ref="Z119:AL119" si="39">+Z13*0.9</f>
        <v>11340</v>
      </c>
      <c r="AA119" s="364">
        <f t="shared" si="39"/>
        <v>45360</v>
      </c>
      <c r="AB119" s="364">
        <f t="shared" si="39"/>
        <v>22680</v>
      </c>
      <c r="AC119" s="364">
        <f t="shared" si="39"/>
        <v>45360</v>
      </c>
      <c r="AD119" s="364">
        <f t="shared" si="39"/>
        <v>22680</v>
      </c>
      <c r="AE119" s="364">
        <f t="shared" si="39"/>
        <v>45360</v>
      </c>
      <c r="AF119" s="364">
        <f t="shared" si="39"/>
        <v>45360</v>
      </c>
      <c r="AG119" s="365">
        <f t="shared" si="39"/>
        <v>45360</v>
      </c>
      <c r="AH119" s="75">
        <v>180000</v>
      </c>
      <c r="AI119" s="75">
        <v>360000</v>
      </c>
      <c r="AJ119" s="76">
        <v>60000</v>
      </c>
      <c r="AK119" s="366">
        <f t="shared" si="39"/>
        <v>22680</v>
      </c>
      <c r="AL119" s="364">
        <f t="shared" si="39"/>
        <v>22680</v>
      </c>
      <c r="AM119" s="75">
        <v>150000</v>
      </c>
      <c r="AN119" s="75">
        <v>60000</v>
      </c>
      <c r="AO119" s="364">
        <f t="shared" si="20"/>
        <v>68040</v>
      </c>
      <c r="AP119" s="364">
        <f t="shared" si="20"/>
        <v>45360</v>
      </c>
      <c r="AQ119" s="364">
        <f t="shared" si="20"/>
        <v>22680</v>
      </c>
    </row>
    <row r="120" spans="1:43" ht="14.25" x14ac:dyDescent="0.15">
      <c r="A120" s="343"/>
      <c r="B120" s="105" t="s">
        <v>68</v>
      </c>
      <c r="C120" s="309">
        <f t="shared" ref="C120:G120" si="40">+C14*0.9</f>
        <v>145800</v>
      </c>
      <c r="D120" s="309">
        <f t="shared" si="40"/>
        <v>108000</v>
      </c>
      <c r="E120" s="309">
        <f t="shared" si="40"/>
        <v>108000</v>
      </c>
      <c r="F120" s="309">
        <f t="shared" si="40"/>
        <v>108000</v>
      </c>
      <c r="G120" s="309">
        <f t="shared" si="40"/>
        <v>108000</v>
      </c>
      <c r="H120" s="309">
        <f t="shared" si="31"/>
        <v>194400</v>
      </c>
      <c r="I120" s="309">
        <f t="shared" si="31"/>
        <v>233280</v>
      </c>
      <c r="J120" s="42" t="s">
        <v>1183</v>
      </c>
      <c r="K120" s="309"/>
      <c r="L120" s="309">
        <f t="shared" si="18"/>
        <v>118800</v>
      </c>
      <c r="M120" s="316">
        <f t="shared" si="22"/>
        <v>142200</v>
      </c>
      <c r="N120" s="316">
        <f t="shared" ref="N120:P120" si="41">+N14*0.9</f>
        <v>170640</v>
      </c>
      <c r="O120" s="316">
        <f t="shared" si="41"/>
        <v>170640</v>
      </c>
      <c r="P120" s="316">
        <f t="shared" si="41"/>
        <v>199080</v>
      </c>
      <c r="Q120" s="316">
        <f t="shared" si="22"/>
        <v>14220</v>
      </c>
      <c r="R120" s="107"/>
      <c r="S120" s="77">
        <v>25000</v>
      </c>
      <c r="T120" s="110">
        <v>60000</v>
      </c>
      <c r="U120" s="110"/>
      <c r="V120" s="110">
        <v>3000</v>
      </c>
      <c r="W120" s="320"/>
      <c r="X120" s="110">
        <v>2000</v>
      </c>
      <c r="Y120" s="113">
        <v>2000</v>
      </c>
      <c r="Z120" s="363">
        <f t="shared" ref="Z120:AL120" si="42">+Z14*0.9</f>
        <v>14580</v>
      </c>
      <c r="AA120" s="364">
        <f t="shared" si="42"/>
        <v>58320</v>
      </c>
      <c r="AB120" s="364">
        <f t="shared" si="42"/>
        <v>29160</v>
      </c>
      <c r="AC120" s="364">
        <f t="shared" si="42"/>
        <v>58320</v>
      </c>
      <c r="AD120" s="364">
        <f t="shared" si="42"/>
        <v>29160</v>
      </c>
      <c r="AE120" s="364">
        <f t="shared" si="42"/>
        <v>58320</v>
      </c>
      <c r="AF120" s="364">
        <f t="shared" si="42"/>
        <v>58320</v>
      </c>
      <c r="AG120" s="365">
        <f t="shared" si="42"/>
        <v>58320</v>
      </c>
      <c r="AH120" s="78">
        <v>180000</v>
      </c>
      <c r="AI120" s="78">
        <v>360000</v>
      </c>
      <c r="AJ120" s="79">
        <v>60000</v>
      </c>
      <c r="AK120" s="366">
        <f t="shared" si="42"/>
        <v>29160</v>
      </c>
      <c r="AL120" s="364">
        <f t="shared" si="42"/>
        <v>29160</v>
      </c>
      <c r="AM120" s="75">
        <v>150000</v>
      </c>
      <c r="AN120" s="75">
        <v>60000</v>
      </c>
      <c r="AO120" s="364">
        <f t="shared" si="20"/>
        <v>87480</v>
      </c>
      <c r="AP120" s="364">
        <f t="shared" si="20"/>
        <v>58320</v>
      </c>
      <c r="AQ120" s="364">
        <f t="shared" si="20"/>
        <v>29160</v>
      </c>
    </row>
    <row r="121" spans="1:43" ht="14.25" x14ac:dyDescent="0.15">
      <c r="A121" s="343"/>
      <c r="B121" s="105" t="s">
        <v>69</v>
      </c>
      <c r="C121" s="309">
        <f t="shared" ref="C121:G122" si="43">+C15*0.9</f>
        <v>189000</v>
      </c>
      <c r="D121" s="309">
        <f t="shared" si="43"/>
        <v>118800</v>
      </c>
      <c r="E121" s="309">
        <f t="shared" si="43"/>
        <v>118800</v>
      </c>
      <c r="F121" s="309">
        <f t="shared" si="43"/>
        <v>118800</v>
      </c>
      <c r="G121" s="309">
        <f t="shared" si="43"/>
        <v>118800</v>
      </c>
      <c r="H121" s="309">
        <f t="shared" si="31"/>
        <v>216000</v>
      </c>
      <c r="I121" s="309">
        <f t="shared" si="31"/>
        <v>259200</v>
      </c>
      <c r="J121" s="42" t="s">
        <v>1183</v>
      </c>
      <c r="K121" s="309"/>
      <c r="L121" s="309">
        <f t="shared" si="18"/>
        <v>140400</v>
      </c>
      <c r="M121" s="316">
        <f t="shared" si="22"/>
        <v>168300</v>
      </c>
      <c r="N121" s="316">
        <f t="shared" ref="N121:P121" si="44">+N15*0.9</f>
        <v>201960</v>
      </c>
      <c r="O121" s="316">
        <f t="shared" si="44"/>
        <v>201960</v>
      </c>
      <c r="P121" s="316">
        <f t="shared" si="44"/>
        <v>235619.99999999997</v>
      </c>
      <c r="Q121" s="316">
        <f t="shared" si="22"/>
        <v>16830</v>
      </c>
      <c r="R121" s="107"/>
      <c r="S121" s="77">
        <v>25000</v>
      </c>
      <c r="T121" s="110">
        <v>60000</v>
      </c>
      <c r="U121" s="110"/>
      <c r="V121" s="110">
        <v>3000</v>
      </c>
      <c r="W121" s="320"/>
      <c r="X121" s="110">
        <v>2000</v>
      </c>
      <c r="Y121" s="113">
        <v>2000</v>
      </c>
      <c r="Z121" s="363">
        <f t="shared" ref="Z121:AL121" si="45">+Z15*0.9</f>
        <v>18900</v>
      </c>
      <c r="AA121" s="364">
        <f t="shared" si="45"/>
        <v>75600</v>
      </c>
      <c r="AB121" s="364">
        <f t="shared" si="45"/>
        <v>37800</v>
      </c>
      <c r="AC121" s="364">
        <f t="shared" si="45"/>
        <v>75600</v>
      </c>
      <c r="AD121" s="364">
        <f t="shared" si="45"/>
        <v>37800</v>
      </c>
      <c r="AE121" s="364">
        <f t="shared" si="45"/>
        <v>75600</v>
      </c>
      <c r="AF121" s="364">
        <f t="shared" si="45"/>
        <v>75600</v>
      </c>
      <c r="AG121" s="365">
        <f t="shared" si="45"/>
        <v>75600</v>
      </c>
      <c r="AH121" s="75">
        <v>180000</v>
      </c>
      <c r="AI121" s="75">
        <v>360000</v>
      </c>
      <c r="AJ121" s="76">
        <v>60000</v>
      </c>
      <c r="AK121" s="366">
        <f t="shared" si="45"/>
        <v>37800</v>
      </c>
      <c r="AL121" s="364">
        <f t="shared" si="45"/>
        <v>37800</v>
      </c>
      <c r="AM121" s="75">
        <v>150000</v>
      </c>
      <c r="AN121" s="75">
        <v>60000</v>
      </c>
      <c r="AO121" s="364">
        <f t="shared" si="20"/>
        <v>113400</v>
      </c>
      <c r="AP121" s="364">
        <f t="shared" si="20"/>
        <v>75600</v>
      </c>
      <c r="AQ121" s="364">
        <f t="shared" si="20"/>
        <v>37800</v>
      </c>
    </row>
    <row r="122" spans="1:43" ht="14.25" x14ac:dyDescent="0.15">
      <c r="A122" s="343"/>
      <c r="B122" s="105" t="s">
        <v>70</v>
      </c>
      <c r="C122" s="309">
        <f t="shared" si="43"/>
        <v>226800</v>
      </c>
      <c r="D122" s="309">
        <f t="shared" si="43"/>
        <v>156600</v>
      </c>
      <c r="E122" s="309">
        <f t="shared" si="43"/>
        <v>156600</v>
      </c>
      <c r="F122" s="309">
        <f t="shared" si="43"/>
        <v>156600</v>
      </c>
      <c r="G122" s="309">
        <f t="shared" si="43"/>
        <v>156600</v>
      </c>
      <c r="H122" s="309">
        <f t="shared" si="31"/>
        <v>237600</v>
      </c>
      <c r="I122" s="309">
        <f t="shared" si="31"/>
        <v>285120</v>
      </c>
      <c r="J122" s="42" t="s">
        <v>1183</v>
      </c>
      <c r="K122" s="309"/>
      <c r="L122" s="309">
        <f t="shared" si="18"/>
        <v>194400</v>
      </c>
      <c r="M122" s="316">
        <f t="shared" si="22"/>
        <v>233100</v>
      </c>
      <c r="N122" s="316">
        <f t="shared" ref="N122:P122" si="46">+N16*0.9</f>
        <v>279720</v>
      </c>
      <c r="O122" s="316">
        <f t="shared" si="46"/>
        <v>279720</v>
      </c>
      <c r="P122" s="316">
        <f t="shared" si="46"/>
        <v>326340</v>
      </c>
      <c r="Q122" s="316">
        <f t="shared" si="22"/>
        <v>23310</v>
      </c>
      <c r="R122" s="107"/>
      <c r="S122" s="77">
        <v>25000</v>
      </c>
      <c r="T122" s="110">
        <v>60000</v>
      </c>
      <c r="U122" s="110"/>
      <c r="V122" s="110">
        <v>3000</v>
      </c>
      <c r="W122" s="320"/>
      <c r="X122" s="110">
        <v>2000</v>
      </c>
      <c r="Y122" s="113">
        <v>2000</v>
      </c>
      <c r="Z122" s="363">
        <f t="shared" ref="Z122:AL122" si="47">+Z16*0.9</f>
        <v>22680</v>
      </c>
      <c r="AA122" s="364">
        <f t="shared" si="47"/>
        <v>90720</v>
      </c>
      <c r="AB122" s="364">
        <f t="shared" si="47"/>
        <v>45360</v>
      </c>
      <c r="AC122" s="364">
        <f t="shared" si="47"/>
        <v>90720</v>
      </c>
      <c r="AD122" s="364">
        <f t="shared" si="47"/>
        <v>45360</v>
      </c>
      <c r="AE122" s="364">
        <f t="shared" si="47"/>
        <v>90720</v>
      </c>
      <c r="AF122" s="364">
        <f t="shared" si="47"/>
        <v>90720</v>
      </c>
      <c r="AG122" s="365">
        <f t="shared" si="47"/>
        <v>90720</v>
      </c>
      <c r="AH122" s="78">
        <v>180000</v>
      </c>
      <c r="AI122" s="78">
        <v>360000</v>
      </c>
      <c r="AJ122" s="79">
        <v>60000</v>
      </c>
      <c r="AK122" s="366">
        <f t="shared" si="47"/>
        <v>45360</v>
      </c>
      <c r="AL122" s="364">
        <f t="shared" si="47"/>
        <v>45360</v>
      </c>
      <c r="AM122" s="75">
        <v>150000</v>
      </c>
      <c r="AN122" s="75">
        <v>60000</v>
      </c>
      <c r="AO122" s="364">
        <f t="shared" si="20"/>
        <v>136080</v>
      </c>
      <c r="AP122" s="364">
        <f t="shared" si="20"/>
        <v>90720</v>
      </c>
      <c r="AQ122" s="364">
        <f t="shared" si="20"/>
        <v>45360</v>
      </c>
    </row>
    <row r="123" spans="1:43" ht="14.25" x14ac:dyDescent="0.15">
      <c r="A123" s="343"/>
      <c r="B123" s="105" t="s">
        <v>71</v>
      </c>
      <c r="C123" s="309">
        <f t="shared" ref="C123:G130" si="48">+C19*0.9</f>
        <v>315000</v>
      </c>
      <c r="D123" s="309">
        <f t="shared" si="48"/>
        <v>172800</v>
      </c>
      <c r="E123" s="309">
        <f t="shared" si="48"/>
        <v>172800</v>
      </c>
      <c r="F123" s="309">
        <f t="shared" si="48"/>
        <v>172800</v>
      </c>
      <c r="G123" s="309">
        <f t="shared" si="48"/>
        <v>172800</v>
      </c>
      <c r="H123" s="309">
        <f t="shared" ref="H123:I135" si="49">+H19*0.9</f>
        <v>259200</v>
      </c>
      <c r="I123" s="309">
        <f t="shared" si="49"/>
        <v>311040</v>
      </c>
      <c r="J123" s="42" t="s">
        <v>1183</v>
      </c>
      <c r="K123" s="309"/>
      <c r="L123" s="309">
        <f t="shared" ref="L123:L135" si="50">+L19*0.9</f>
        <v>237600</v>
      </c>
      <c r="M123" s="316">
        <f t="shared" ref="M123:Q135" si="51">+M19*0.9</f>
        <v>285300</v>
      </c>
      <c r="N123" s="316">
        <f t="shared" ref="N123:P123" si="52">+N19*0.9</f>
        <v>342360</v>
      </c>
      <c r="O123" s="316">
        <f t="shared" si="52"/>
        <v>342360</v>
      </c>
      <c r="P123" s="316">
        <f t="shared" si="52"/>
        <v>399420</v>
      </c>
      <c r="Q123" s="316">
        <f t="shared" si="51"/>
        <v>28530</v>
      </c>
      <c r="R123" s="107"/>
      <c r="S123" s="77">
        <v>25000</v>
      </c>
      <c r="T123" s="110">
        <v>60000</v>
      </c>
      <c r="U123" s="110"/>
      <c r="V123" s="110">
        <v>3000</v>
      </c>
      <c r="W123" s="320"/>
      <c r="X123" s="110">
        <v>2000</v>
      </c>
      <c r="Y123" s="113">
        <v>2000</v>
      </c>
      <c r="Z123" s="363">
        <f t="shared" ref="Z123:AL123" si="53">+Z19*0.9</f>
        <v>31500</v>
      </c>
      <c r="AA123" s="364">
        <f t="shared" si="53"/>
        <v>126000</v>
      </c>
      <c r="AB123" s="364">
        <f t="shared" si="53"/>
        <v>63000</v>
      </c>
      <c r="AC123" s="364">
        <f t="shared" si="53"/>
        <v>126000</v>
      </c>
      <c r="AD123" s="364">
        <f t="shared" si="53"/>
        <v>63000</v>
      </c>
      <c r="AE123" s="364">
        <f t="shared" si="53"/>
        <v>126000</v>
      </c>
      <c r="AF123" s="364">
        <f t="shared" si="53"/>
        <v>126000</v>
      </c>
      <c r="AG123" s="365">
        <f t="shared" si="53"/>
        <v>126000</v>
      </c>
      <c r="AH123" s="75">
        <v>180000</v>
      </c>
      <c r="AI123" s="75">
        <v>360000</v>
      </c>
      <c r="AJ123" s="76">
        <v>60000</v>
      </c>
      <c r="AK123" s="366">
        <f t="shared" si="53"/>
        <v>63000</v>
      </c>
      <c r="AL123" s="364">
        <f t="shared" si="53"/>
        <v>63000</v>
      </c>
      <c r="AM123" s="75">
        <v>150000</v>
      </c>
      <c r="AN123" s="75">
        <v>60000</v>
      </c>
      <c r="AO123" s="364">
        <f t="shared" ref="AO123:AQ135" si="54">+AO19*0.9</f>
        <v>189000</v>
      </c>
      <c r="AP123" s="364">
        <f t="shared" si="54"/>
        <v>126000</v>
      </c>
      <c r="AQ123" s="364">
        <f t="shared" si="54"/>
        <v>63000</v>
      </c>
    </row>
    <row r="124" spans="1:43" ht="14.25" x14ac:dyDescent="0.15">
      <c r="A124" s="343"/>
      <c r="B124" s="105" t="s">
        <v>72</v>
      </c>
      <c r="C124" s="309">
        <f t="shared" si="48"/>
        <v>378000</v>
      </c>
      <c r="D124" s="309">
        <f t="shared" si="48"/>
        <v>201600</v>
      </c>
      <c r="E124" s="309">
        <f t="shared" si="48"/>
        <v>201600</v>
      </c>
      <c r="F124" s="309">
        <f t="shared" si="48"/>
        <v>201600</v>
      </c>
      <c r="G124" s="309">
        <f t="shared" si="48"/>
        <v>201600</v>
      </c>
      <c r="H124" s="309">
        <f t="shared" si="49"/>
        <v>280800</v>
      </c>
      <c r="I124" s="309">
        <f t="shared" si="49"/>
        <v>336960</v>
      </c>
      <c r="J124" s="42" t="s">
        <v>1183</v>
      </c>
      <c r="K124" s="309"/>
      <c r="L124" s="309">
        <f t="shared" si="50"/>
        <v>270000</v>
      </c>
      <c r="M124" s="316">
        <f t="shared" si="51"/>
        <v>324000</v>
      </c>
      <c r="N124" s="316">
        <f t="shared" ref="N124:P124" si="55">+N20*0.9</f>
        <v>388800</v>
      </c>
      <c r="O124" s="316">
        <f t="shared" si="55"/>
        <v>388800</v>
      </c>
      <c r="P124" s="316">
        <f t="shared" si="55"/>
        <v>453599.99999999994</v>
      </c>
      <c r="Q124" s="316">
        <f t="shared" si="51"/>
        <v>32400</v>
      </c>
      <c r="R124" s="107"/>
      <c r="S124" s="77">
        <v>25000</v>
      </c>
      <c r="T124" s="110">
        <v>60000</v>
      </c>
      <c r="U124" s="110"/>
      <c r="V124" s="110">
        <v>3000</v>
      </c>
      <c r="W124" s="320"/>
      <c r="X124" s="110">
        <v>2000</v>
      </c>
      <c r="Y124" s="113">
        <v>2000</v>
      </c>
      <c r="Z124" s="363">
        <f t="shared" ref="Z124:AL124" si="56">+Z20*0.9</f>
        <v>37800</v>
      </c>
      <c r="AA124" s="364">
        <f t="shared" si="56"/>
        <v>151200</v>
      </c>
      <c r="AB124" s="364">
        <f t="shared" si="56"/>
        <v>75600</v>
      </c>
      <c r="AC124" s="364">
        <f t="shared" si="56"/>
        <v>151200</v>
      </c>
      <c r="AD124" s="364">
        <f t="shared" si="56"/>
        <v>75600</v>
      </c>
      <c r="AE124" s="364">
        <f t="shared" si="56"/>
        <v>151200</v>
      </c>
      <c r="AF124" s="364">
        <f t="shared" si="56"/>
        <v>151200</v>
      </c>
      <c r="AG124" s="365">
        <f t="shared" si="56"/>
        <v>151200</v>
      </c>
      <c r="AH124" s="78">
        <v>180000</v>
      </c>
      <c r="AI124" s="78">
        <v>360000</v>
      </c>
      <c r="AJ124" s="79">
        <v>60000</v>
      </c>
      <c r="AK124" s="366">
        <f t="shared" si="56"/>
        <v>75600</v>
      </c>
      <c r="AL124" s="364">
        <f t="shared" si="56"/>
        <v>75600</v>
      </c>
      <c r="AM124" s="75">
        <v>150000</v>
      </c>
      <c r="AN124" s="75">
        <v>60000</v>
      </c>
      <c r="AO124" s="364">
        <f t="shared" si="54"/>
        <v>226800</v>
      </c>
      <c r="AP124" s="364">
        <f t="shared" si="54"/>
        <v>151200</v>
      </c>
      <c r="AQ124" s="364">
        <f t="shared" si="54"/>
        <v>75600</v>
      </c>
    </row>
    <row r="125" spans="1:43" ht="14.25" x14ac:dyDescent="0.15">
      <c r="A125" s="343"/>
      <c r="B125" s="105" t="s">
        <v>73</v>
      </c>
      <c r="C125" s="309">
        <f t="shared" si="48"/>
        <v>432000</v>
      </c>
      <c r="D125" s="309">
        <f t="shared" si="48"/>
        <v>237600</v>
      </c>
      <c r="E125" s="309">
        <f t="shared" si="48"/>
        <v>237600</v>
      </c>
      <c r="F125" s="309">
        <f t="shared" si="48"/>
        <v>237600</v>
      </c>
      <c r="G125" s="309">
        <f t="shared" si="48"/>
        <v>237600</v>
      </c>
      <c r="H125" s="309">
        <f t="shared" si="49"/>
        <v>313200</v>
      </c>
      <c r="I125" s="309">
        <f t="shared" si="49"/>
        <v>375840</v>
      </c>
      <c r="J125" s="42" t="s">
        <v>1183</v>
      </c>
      <c r="K125" s="309"/>
      <c r="L125" s="309">
        <f t="shared" si="50"/>
        <v>324000</v>
      </c>
      <c r="M125" s="316">
        <f t="shared" si="51"/>
        <v>388800</v>
      </c>
      <c r="N125" s="316">
        <f t="shared" ref="N125:P125" si="57">+N21*0.9</f>
        <v>466560</v>
      </c>
      <c r="O125" s="316">
        <f t="shared" si="57"/>
        <v>466560</v>
      </c>
      <c r="P125" s="316">
        <f t="shared" si="57"/>
        <v>544320</v>
      </c>
      <c r="Q125" s="316">
        <f t="shared" si="51"/>
        <v>38880</v>
      </c>
      <c r="R125" s="107"/>
      <c r="S125" s="77">
        <v>25000</v>
      </c>
      <c r="T125" s="110">
        <v>60000</v>
      </c>
      <c r="U125" s="110"/>
      <c r="V125" s="110">
        <v>3000</v>
      </c>
      <c r="W125" s="320"/>
      <c r="X125" s="110">
        <v>2000</v>
      </c>
      <c r="Y125" s="113">
        <v>2000</v>
      </c>
      <c r="Z125" s="363">
        <f t="shared" ref="Z125:AL125" si="58">+Z21*0.9</f>
        <v>43200</v>
      </c>
      <c r="AA125" s="364">
        <f t="shared" si="58"/>
        <v>172800</v>
      </c>
      <c r="AB125" s="364">
        <f t="shared" si="58"/>
        <v>86400</v>
      </c>
      <c r="AC125" s="364">
        <f t="shared" si="58"/>
        <v>172800</v>
      </c>
      <c r="AD125" s="364">
        <f t="shared" si="58"/>
        <v>86400</v>
      </c>
      <c r="AE125" s="364">
        <f t="shared" si="58"/>
        <v>172800</v>
      </c>
      <c r="AF125" s="364">
        <f t="shared" si="58"/>
        <v>172800</v>
      </c>
      <c r="AG125" s="365">
        <f t="shared" si="58"/>
        <v>172800</v>
      </c>
      <c r="AH125" s="75">
        <v>180000</v>
      </c>
      <c r="AI125" s="75">
        <v>360000</v>
      </c>
      <c r="AJ125" s="76">
        <v>60000</v>
      </c>
      <c r="AK125" s="366">
        <f t="shared" si="58"/>
        <v>86400</v>
      </c>
      <c r="AL125" s="364">
        <f t="shared" si="58"/>
        <v>86400</v>
      </c>
      <c r="AM125" s="75">
        <v>150000</v>
      </c>
      <c r="AN125" s="75">
        <v>60000</v>
      </c>
      <c r="AO125" s="364">
        <f t="shared" si="54"/>
        <v>259200</v>
      </c>
      <c r="AP125" s="364">
        <f t="shared" si="54"/>
        <v>172800</v>
      </c>
      <c r="AQ125" s="364">
        <f t="shared" si="54"/>
        <v>86400</v>
      </c>
    </row>
    <row r="126" spans="1:43" ht="14.25" x14ac:dyDescent="0.15">
      <c r="A126" s="343"/>
      <c r="B126" s="105" t="s">
        <v>74</v>
      </c>
      <c r="C126" s="309">
        <f t="shared" si="48"/>
        <v>486000</v>
      </c>
      <c r="D126" s="309">
        <f t="shared" si="48"/>
        <v>286200</v>
      </c>
      <c r="E126" s="309">
        <f t="shared" si="48"/>
        <v>286200</v>
      </c>
      <c r="F126" s="309">
        <f t="shared" si="48"/>
        <v>286200</v>
      </c>
      <c r="G126" s="309">
        <f t="shared" si="48"/>
        <v>286200</v>
      </c>
      <c r="H126" s="309">
        <f t="shared" si="49"/>
        <v>345600</v>
      </c>
      <c r="I126" s="309">
        <f t="shared" si="49"/>
        <v>414720</v>
      </c>
      <c r="J126" s="42" t="s">
        <v>1183</v>
      </c>
      <c r="K126" s="309"/>
      <c r="L126" s="309">
        <f t="shared" si="50"/>
        <v>378000</v>
      </c>
      <c r="M126" s="316">
        <f t="shared" si="51"/>
        <v>453600</v>
      </c>
      <c r="N126" s="316">
        <f t="shared" ref="N126:P126" si="59">+N22*0.9</f>
        <v>544320</v>
      </c>
      <c r="O126" s="316">
        <f t="shared" si="59"/>
        <v>544320</v>
      </c>
      <c r="P126" s="316">
        <f t="shared" si="59"/>
        <v>635040</v>
      </c>
      <c r="Q126" s="316">
        <f t="shared" si="51"/>
        <v>45360</v>
      </c>
      <c r="R126" s="107"/>
      <c r="S126" s="77">
        <v>25000</v>
      </c>
      <c r="T126" s="110">
        <v>60000</v>
      </c>
      <c r="U126" s="110"/>
      <c r="V126" s="110">
        <v>3000</v>
      </c>
      <c r="W126" s="320"/>
      <c r="X126" s="110">
        <v>2000</v>
      </c>
      <c r="Y126" s="113">
        <v>2000</v>
      </c>
      <c r="Z126" s="363">
        <f t="shared" ref="Z126:AL126" si="60">+Z22*0.9</f>
        <v>48600</v>
      </c>
      <c r="AA126" s="364">
        <f t="shared" si="60"/>
        <v>194400</v>
      </c>
      <c r="AB126" s="364">
        <f t="shared" si="60"/>
        <v>97200</v>
      </c>
      <c r="AC126" s="364">
        <f t="shared" si="60"/>
        <v>194400</v>
      </c>
      <c r="AD126" s="364">
        <f t="shared" si="60"/>
        <v>97200</v>
      </c>
      <c r="AE126" s="364">
        <f t="shared" si="60"/>
        <v>194400</v>
      </c>
      <c r="AF126" s="364">
        <f t="shared" si="60"/>
        <v>194400</v>
      </c>
      <c r="AG126" s="365">
        <f t="shared" si="60"/>
        <v>194400</v>
      </c>
      <c r="AH126" s="78">
        <v>180000</v>
      </c>
      <c r="AI126" s="78">
        <v>360000</v>
      </c>
      <c r="AJ126" s="79">
        <v>60000</v>
      </c>
      <c r="AK126" s="366">
        <f t="shared" si="60"/>
        <v>97200</v>
      </c>
      <c r="AL126" s="364">
        <f t="shared" si="60"/>
        <v>97200</v>
      </c>
      <c r="AM126" s="75">
        <v>150000</v>
      </c>
      <c r="AN126" s="75">
        <v>60000</v>
      </c>
      <c r="AO126" s="364">
        <f t="shared" si="54"/>
        <v>291600</v>
      </c>
      <c r="AP126" s="364">
        <f t="shared" si="54"/>
        <v>194400</v>
      </c>
      <c r="AQ126" s="364">
        <f t="shared" si="54"/>
        <v>97200</v>
      </c>
    </row>
    <row r="127" spans="1:43" ht="14.25" x14ac:dyDescent="0.15">
      <c r="A127" s="343"/>
      <c r="B127" s="105" t="s">
        <v>75</v>
      </c>
      <c r="C127" s="309">
        <f t="shared" si="48"/>
        <v>540000</v>
      </c>
      <c r="D127" s="309">
        <f t="shared" si="48"/>
        <v>297000</v>
      </c>
      <c r="E127" s="309">
        <f t="shared" si="48"/>
        <v>297000</v>
      </c>
      <c r="F127" s="309">
        <f t="shared" si="48"/>
        <v>297000</v>
      </c>
      <c r="G127" s="309">
        <f t="shared" si="48"/>
        <v>297000</v>
      </c>
      <c r="H127" s="309">
        <f t="shared" si="49"/>
        <v>378000</v>
      </c>
      <c r="I127" s="309">
        <f t="shared" si="49"/>
        <v>453600</v>
      </c>
      <c r="J127" s="42" t="s">
        <v>1183</v>
      </c>
      <c r="K127" s="309"/>
      <c r="L127" s="309">
        <f t="shared" si="50"/>
        <v>432000</v>
      </c>
      <c r="M127" s="316">
        <f t="shared" si="51"/>
        <v>518400</v>
      </c>
      <c r="N127" s="316">
        <f t="shared" ref="N127:P127" si="61">+N23*0.9</f>
        <v>622080</v>
      </c>
      <c r="O127" s="316">
        <f t="shared" si="61"/>
        <v>622080</v>
      </c>
      <c r="P127" s="316">
        <f t="shared" si="61"/>
        <v>725760</v>
      </c>
      <c r="Q127" s="316">
        <f t="shared" si="51"/>
        <v>51840</v>
      </c>
      <c r="R127" s="107"/>
      <c r="S127" s="77">
        <v>25000</v>
      </c>
      <c r="T127" s="110">
        <v>60000</v>
      </c>
      <c r="U127" s="110"/>
      <c r="V127" s="110">
        <v>3000</v>
      </c>
      <c r="W127" s="320"/>
      <c r="X127" s="110">
        <v>2000</v>
      </c>
      <c r="Y127" s="113">
        <v>2000</v>
      </c>
      <c r="Z127" s="363">
        <f t="shared" ref="Z127:AL127" si="62">+Z23*0.9</f>
        <v>54000</v>
      </c>
      <c r="AA127" s="364">
        <f t="shared" si="62"/>
        <v>216000</v>
      </c>
      <c r="AB127" s="364">
        <f t="shared" si="62"/>
        <v>108000</v>
      </c>
      <c r="AC127" s="364">
        <f t="shared" si="62"/>
        <v>216000</v>
      </c>
      <c r="AD127" s="364">
        <f t="shared" si="62"/>
        <v>108000</v>
      </c>
      <c r="AE127" s="364">
        <f t="shared" si="62"/>
        <v>216000</v>
      </c>
      <c r="AF127" s="364">
        <f t="shared" si="62"/>
        <v>216000</v>
      </c>
      <c r="AG127" s="365">
        <f t="shared" si="62"/>
        <v>216000</v>
      </c>
      <c r="AH127" s="75">
        <v>180000</v>
      </c>
      <c r="AI127" s="75">
        <v>360000</v>
      </c>
      <c r="AJ127" s="76">
        <v>60000</v>
      </c>
      <c r="AK127" s="366">
        <f t="shared" si="62"/>
        <v>108000</v>
      </c>
      <c r="AL127" s="364">
        <f t="shared" si="62"/>
        <v>108000</v>
      </c>
      <c r="AM127" s="75">
        <v>150000</v>
      </c>
      <c r="AN127" s="75">
        <v>60000</v>
      </c>
      <c r="AO127" s="364">
        <f t="shared" si="54"/>
        <v>324000</v>
      </c>
      <c r="AP127" s="364">
        <f t="shared" si="54"/>
        <v>216000</v>
      </c>
      <c r="AQ127" s="364">
        <f t="shared" si="54"/>
        <v>108000</v>
      </c>
    </row>
    <row r="128" spans="1:43" ht="14.25" x14ac:dyDescent="0.15">
      <c r="A128" s="343"/>
      <c r="B128" s="105" t="s">
        <v>76</v>
      </c>
      <c r="C128" s="309">
        <f t="shared" si="48"/>
        <v>648000</v>
      </c>
      <c r="D128" s="309">
        <f t="shared" si="48"/>
        <v>345600</v>
      </c>
      <c r="E128" s="309">
        <f t="shared" si="48"/>
        <v>345600</v>
      </c>
      <c r="F128" s="309">
        <f t="shared" si="48"/>
        <v>345600</v>
      </c>
      <c r="G128" s="309">
        <f t="shared" si="48"/>
        <v>345600</v>
      </c>
      <c r="H128" s="309">
        <f t="shared" si="49"/>
        <v>410400</v>
      </c>
      <c r="I128" s="309">
        <f t="shared" si="49"/>
        <v>492480</v>
      </c>
      <c r="J128" s="42" t="s">
        <v>1183</v>
      </c>
      <c r="K128" s="309"/>
      <c r="L128" s="309">
        <f t="shared" si="50"/>
        <v>486000</v>
      </c>
      <c r="M128" s="316">
        <f t="shared" si="51"/>
        <v>583200</v>
      </c>
      <c r="N128" s="316">
        <f t="shared" ref="N128:P128" si="63">+N24*0.9</f>
        <v>699840</v>
      </c>
      <c r="O128" s="316">
        <f t="shared" si="63"/>
        <v>699840</v>
      </c>
      <c r="P128" s="316">
        <f t="shared" si="63"/>
        <v>816480</v>
      </c>
      <c r="Q128" s="316">
        <f t="shared" si="51"/>
        <v>58320</v>
      </c>
      <c r="R128" s="107"/>
      <c r="S128" s="77">
        <v>25000</v>
      </c>
      <c r="T128" s="110">
        <v>60000</v>
      </c>
      <c r="U128" s="110"/>
      <c r="V128" s="110">
        <v>3000</v>
      </c>
      <c r="W128" s="320"/>
      <c r="X128" s="110">
        <v>2000</v>
      </c>
      <c r="Y128" s="113">
        <v>2000</v>
      </c>
      <c r="Z128" s="363">
        <f t="shared" ref="Z128:AL128" si="64">+Z24*0.9</f>
        <v>64800</v>
      </c>
      <c r="AA128" s="364">
        <f t="shared" si="64"/>
        <v>259200</v>
      </c>
      <c r="AB128" s="364">
        <f t="shared" si="64"/>
        <v>129600</v>
      </c>
      <c r="AC128" s="364">
        <f t="shared" si="64"/>
        <v>259200</v>
      </c>
      <c r="AD128" s="364">
        <f t="shared" si="64"/>
        <v>129600</v>
      </c>
      <c r="AE128" s="364">
        <f t="shared" si="64"/>
        <v>259200</v>
      </c>
      <c r="AF128" s="364">
        <f t="shared" si="64"/>
        <v>259200</v>
      </c>
      <c r="AG128" s="365">
        <f t="shared" si="64"/>
        <v>259200</v>
      </c>
      <c r="AH128" s="78">
        <v>180000</v>
      </c>
      <c r="AI128" s="78">
        <v>360000</v>
      </c>
      <c r="AJ128" s="79">
        <v>60000</v>
      </c>
      <c r="AK128" s="366">
        <f t="shared" si="64"/>
        <v>129600</v>
      </c>
      <c r="AL128" s="364">
        <f t="shared" si="64"/>
        <v>129600</v>
      </c>
      <c r="AM128" s="75">
        <v>150000</v>
      </c>
      <c r="AN128" s="75">
        <v>60000</v>
      </c>
      <c r="AO128" s="364">
        <f t="shared" si="54"/>
        <v>388800</v>
      </c>
      <c r="AP128" s="364">
        <f t="shared" si="54"/>
        <v>259200</v>
      </c>
      <c r="AQ128" s="364">
        <f t="shared" si="54"/>
        <v>129600</v>
      </c>
    </row>
    <row r="129" spans="1:43" ht="14.25" x14ac:dyDescent="0.15">
      <c r="A129" s="343"/>
      <c r="B129" s="105" t="s">
        <v>937</v>
      </c>
      <c r="C129" s="309">
        <f t="shared" si="48"/>
        <v>756000</v>
      </c>
      <c r="D129" s="309">
        <f t="shared" si="48"/>
        <v>378000</v>
      </c>
      <c r="E129" s="309">
        <f t="shared" si="48"/>
        <v>378000</v>
      </c>
      <c r="F129" s="309">
        <f t="shared" si="48"/>
        <v>378000</v>
      </c>
      <c r="G129" s="309">
        <f t="shared" si="48"/>
        <v>378000</v>
      </c>
      <c r="H129" s="317">
        <f t="shared" si="49"/>
        <v>442800</v>
      </c>
      <c r="I129" s="317">
        <f t="shared" si="49"/>
        <v>531360</v>
      </c>
      <c r="J129" s="42" t="s">
        <v>1183</v>
      </c>
      <c r="K129" s="309"/>
      <c r="L129" s="309">
        <f t="shared" si="50"/>
        <v>540000</v>
      </c>
      <c r="M129" s="316">
        <f t="shared" si="51"/>
        <v>648000</v>
      </c>
      <c r="N129" s="316">
        <f t="shared" ref="N129:P129" si="65">+N25*0.9</f>
        <v>777600</v>
      </c>
      <c r="O129" s="316">
        <f t="shared" si="65"/>
        <v>777600</v>
      </c>
      <c r="P129" s="316">
        <f t="shared" si="65"/>
        <v>907199.99999999988</v>
      </c>
      <c r="Q129" s="316">
        <f t="shared" si="51"/>
        <v>64800</v>
      </c>
      <c r="R129" s="107"/>
      <c r="S129" s="77">
        <v>25000</v>
      </c>
      <c r="T129" s="110">
        <v>60000</v>
      </c>
      <c r="U129" s="110"/>
      <c r="V129" s="110">
        <v>3000</v>
      </c>
      <c r="W129" s="320"/>
      <c r="X129" s="110">
        <v>2000</v>
      </c>
      <c r="Y129" s="113">
        <v>2000</v>
      </c>
      <c r="Z129" s="363">
        <f t="shared" ref="Z129:AL129" si="66">+Z25*0.9</f>
        <v>75600</v>
      </c>
      <c r="AA129" s="364">
        <f t="shared" si="66"/>
        <v>302400</v>
      </c>
      <c r="AB129" s="364">
        <f t="shared" si="66"/>
        <v>151200</v>
      </c>
      <c r="AC129" s="364">
        <f t="shared" si="66"/>
        <v>302400</v>
      </c>
      <c r="AD129" s="364">
        <f t="shared" si="66"/>
        <v>151200</v>
      </c>
      <c r="AE129" s="364">
        <f t="shared" si="66"/>
        <v>302400</v>
      </c>
      <c r="AF129" s="364">
        <f t="shared" si="66"/>
        <v>302400</v>
      </c>
      <c r="AG129" s="365">
        <f t="shared" si="66"/>
        <v>302400</v>
      </c>
      <c r="AH129" s="75">
        <v>180000</v>
      </c>
      <c r="AI129" s="75">
        <v>360000</v>
      </c>
      <c r="AJ129" s="76">
        <v>60000</v>
      </c>
      <c r="AK129" s="366">
        <f t="shared" si="66"/>
        <v>151200</v>
      </c>
      <c r="AL129" s="364">
        <f t="shared" si="66"/>
        <v>151200</v>
      </c>
      <c r="AM129" s="75">
        <v>150000</v>
      </c>
      <c r="AN129" s="75">
        <v>60000</v>
      </c>
      <c r="AO129" s="364">
        <f t="shared" si="54"/>
        <v>453600</v>
      </c>
      <c r="AP129" s="364">
        <f t="shared" si="54"/>
        <v>302400</v>
      </c>
      <c r="AQ129" s="364">
        <f t="shared" si="54"/>
        <v>151200</v>
      </c>
    </row>
    <row r="130" spans="1:43" ht="14.25" x14ac:dyDescent="0.15">
      <c r="A130" s="343"/>
      <c r="B130" s="105" t="s">
        <v>938</v>
      </c>
      <c r="C130" s="309">
        <f t="shared" si="48"/>
        <v>756000</v>
      </c>
      <c r="D130" s="309">
        <f t="shared" si="48"/>
        <v>378000</v>
      </c>
      <c r="E130" s="309">
        <f t="shared" si="48"/>
        <v>378000</v>
      </c>
      <c r="F130" s="309">
        <f t="shared" si="48"/>
        <v>378000</v>
      </c>
      <c r="G130" s="309">
        <f t="shared" si="48"/>
        <v>378000</v>
      </c>
      <c r="H130" s="317">
        <f t="shared" si="49"/>
        <v>442800</v>
      </c>
      <c r="I130" s="317">
        <f t="shared" si="49"/>
        <v>531360</v>
      </c>
      <c r="J130" s="42" t="s">
        <v>1183</v>
      </c>
      <c r="K130" s="309"/>
      <c r="L130" s="309">
        <f t="shared" si="50"/>
        <v>540000</v>
      </c>
      <c r="M130" s="316">
        <f t="shared" si="51"/>
        <v>648000</v>
      </c>
      <c r="N130" s="316">
        <f t="shared" ref="N130:P130" si="67">+N26*0.9</f>
        <v>777600</v>
      </c>
      <c r="O130" s="316">
        <f t="shared" si="67"/>
        <v>777600</v>
      </c>
      <c r="P130" s="316">
        <f t="shared" si="67"/>
        <v>907199.99999999988</v>
      </c>
      <c r="Q130" s="316">
        <f t="shared" si="51"/>
        <v>64800</v>
      </c>
      <c r="R130" s="107"/>
      <c r="S130" s="77">
        <v>25000</v>
      </c>
      <c r="T130" s="110">
        <v>60000</v>
      </c>
      <c r="U130" s="110"/>
      <c r="V130" s="110">
        <v>3000</v>
      </c>
      <c r="W130" s="320"/>
      <c r="X130" s="110">
        <v>2000</v>
      </c>
      <c r="Y130" s="113">
        <v>2000</v>
      </c>
      <c r="Z130" s="363">
        <f t="shared" ref="Z130:AL130" si="68">+Z26*0.9</f>
        <v>75600</v>
      </c>
      <c r="AA130" s="364">
        <f t="shared" si="68"/>
        <v>302400</v>
      </c>
      <c r="AB130" s="364">
        <f t="shared" si="68"/>
        <v>151200</v>
      </c>
      <c r="AC130" s="364">
        <f t="shared" si="68"/>
        <v>302400</v>
      </c>
      <c r="AD130" s="364">
        <f t="shared" si="68"/>
        <v>151200</v>
      </c>
      <c r="AE130" s="364">
        <f t="shared" si="68"/>
        <v>302400</v>
      </c>
      <c r="AF130" s="364">
        <f t="shared" si="68"/>
        <v>302400</v>
      </c>
      <c r="AG130" s="365">
        <f t="shared" si="68"/>
        <v>302400</v>
      </c>
      <c r="AH130" s="75">
        <v>180000</v>
      </c>
      <c r="AI130" s="75">
        <v>360000</v>
      </c>
      <c r="AJ130" s="76">
        <v>60000</v>
      </c>
      <c r="AK130" s="366">
        <f t="shared" si="68"/>
        <v>151200</v>
      </c>
      <c r="AL130" s="364">
        <f t="shared" si="68"/>
        <v>151200</v>
      </c>
      <c r="AM130" s="75">
        <v>150000</v>
      </c>
      <c r="AN130" s="75">
        <v>60000</v>
      </c>
      <c r="AO130" s="364">
        <f t="shared" si="54"/>
        <v>453600</v>
      </c>
      <c r="AP130" s="364">
        <f t="shared" si="54"/>
        <v>302400</v>
      </c>
      <c r="AQ130" s="364">
        <f t="shared" si="54"/>
        <v>151200</v>
      </c>
    </row>
    <row r="131" spans="1:43" ht="14.25" x14ac:dyDescent="0.15">
      <c r="A131" s="343"/>
      <c r="B131" s="105" t="s">
        <v>77</v>
      </c>
      <c r="C131" s="309">
        <f t="shared" ref="C131:G135" si="69">+C27*0.9</f>
        <v>864000</v>
      </c>
      <c r="D131" s="309">
        <f t="shared" si="69"/>
        <v>453600</v>
      </c>
      <c r="E131" s="309">
        <f t="shared" si="69"/>
        <v>453600</v>
      </c>
      <c r="F131" s="309">
        <f t="shared" si="69"/>
        <v>453600</v>
      </c>
      <c r="G131" s="309">
        <f t="shared" si="69"/>
        <v>453600</v>
      </c>
      <c r="H131" s="317">
        <f t="shared" si="49"/>
        <v>594000</v>
      </c>
      <c r="I131" s="317">
        <f t="shared" si="49"/>
        <v>712800</v>
      </c>
      <c r="J131" s="42" t="s">
        <v>1183</v>
      </c>
      <c r="K131" s="309"/>
      <c r="L131" s="309">
        <f t="shared" si="50"/>
        <v>648000</v>
      </c>
      <c r="M131" s="316">
        <f t="shared" si="51"/>
        <v>777600</v>
      </c>
      <c r="N131" s="316">
        <f t="shared" ref="N131:P131" si="70">+N27*0.9</f>
        <v>933120</v>
      </c>
      <c r="O131" s="316">
        <f t="shared" si="70"/>
        <v>933120</v>
      </c>
      <c r="P131" s="316">
        <f t="shared" si="70"/>
        <v>1088640</v>
      </c>
      <c r="Q131" s="316">
        <f t="shared" si="51"/>
        <v>77760</v>
      </c>
      <c r="R131" s="107"/>
      <c r="S131" s="77">
        <v>25000</v>
      </c>
      <c r="T131" s="110">
        <v>60000</v>
      </c>
      <c r="U131" s="110"/>
      <c r="V131" s="110">
        <v>3000</v>
      </c>
      <c r="W131" s="320"/>
      <c r="X131" s="110">
        <v>2000</v>
      </c>
      <c r="Y131" s="113">
        <v>2000</v>
      </c>
      <c r="Z131" s="363">
        <f t="shared" ref="Z131:AL131" si="71">+Z27*0.9</f>
        <v>86400</v>
      </c>
      <c r="AA131" s="364">
        <f t="shared" si="71"/>
        <v>345600</v>
      </c>
      <c r="AB131" s="364">
        <f t="shared" si="71"/>
        <v>172800</v>
      </c>
      <c r="AC131" s="364">
        <f t="shared" si="71"/>
        <v>345600</v>
      </c>
      <c r="AD131" s="364">
        <f t="shared" si="71"/>
        <v>172800</v>
      </c>
      <c r="AE131" s="364">
        <f t="shared" si="71"/>
        <v>345600</v>
      </c>
      <c r="AF131" s="364">
        <f t="shared" si="71"/>
        <v>345600</v>
      </c>
      <c r="AG131" s="365">
        <f t="shared" si="71"/>
        <v>345600</v>
      </c>
      <c r="AH131" s="78">
        <v>180000</v>
      </c>
      <c r="AI131" s="78">
        <v>360000</v>
      </c>
      <c r="AJ131" s="79">
        <v>60000</v>
      </c>
      <c r="AK131" s="366">
        <f t="shared" si="71"/>
        <v>172800</v>
      </c>
      <c r="AL131" s="364">
        <f t="shared" si="71"/>
        <v>172800</v>
      </c>
      <c r="AM131" s="75">
        <v>150000</v>
      </c>
      <c r="AN131" s="75">
        <v>60000</v>
      </c>
      <c r="AO131" s="364">
        <f t="shared" si="54"/>
        <v>518400</v>
      </c>
      <c r="AP131" s="364">
        <f t="shared" si="54"/>
        <v>345600</v>
      </c>
      <c r="AQ131" s="364">
        <f t="shared" si="54"/>
        <v>172800</v>
      </c>
    </row>
    <row r="132" spans="1:43" ht="14.25" x14ac:dyDescent="0.15">
      <c r="A132" s="343"/>
      <c r="B132" s="105" t="s">
        <v>78</v>
      </c>
      <c r="C132" s="309">
        <f t="shared" si="69"/>
        <v>972000</v>
      </c>
      <c r="D132" s="309">
        <f t="shared" si="69"/>
        <v>518400</v>
      </c>
      <c r="E132" s="309">
        <f t="shared" si="69"/>
        <v>518400</v>
      </c>
      <c r="F132" s="309">
        <f t="shared" si="69"/>
        <v>518400</v>
      </c>
      <c r="G132" s="309">
        <f t="shared" si="69"/>
        <v>518400</v>
      </c>
      <c r="H132" s="317">
        <f t="shared" si="49"/>
        <v>665100</v>
      </c>
      <c r="I132" s="317">
        <f t="shared" si="49"/>
        <v>798120</v>
      </c>
      <c r="J132" s="42" t="s">
        <v>1183</v>
      </c>
      <c r="K132" s="309"/>
      <c r="L132" s="309">
        <f t="shared" si="50"/>
        <v>756000</v>
      </c>
      <c r="M132" s="316">
        <f t="shared" si="51"/>
        <v>907200</v>
      </c>
      <c r="N132" s="316">
        <f t="shared" ref="N132:P132" si="72">+N28*0.9</f>
        <v>1088640</v>
      </c>
      <c r="O132" s="316">
        <f t="shared" si="72"/>
        <v>1088640</v>
      </c>
      <c r="P132" s="316">
        <f t="shared" si="72"/>
        <v>1270080</v>
      </c>
      <c r="Q132" s="316">
        <f t="shared" si="51"/>
        <v>90720</v>
      </c>
      <c r="R132" s="107"/>
      <c r="S132" s="77">
        <v>25000</v>
      </c>
      <c r="T132" s="110">
        <v>60000</v>
      </c>
      <c r="U132" s="110"/>
      <c r="V132" s="110">
        <v>3000</v>
      </c>
      <c r="W132" s="320"/>
      <c r="X132" s="110">
        <v>2000</v>
      </c>
      <c r="Y132" s="113">
        <v>2000</v>
      </c>
      <c r="Z132" s="363">
        <f t="shared" ref="Z132:AL132" si="73">+Z28*0.9</f>
        <v>97200</v>
      </c>
      <c r="AA132" s="364">
        <f t="shared" si="73"/>
        <v>388800</v>
      </c>
      <c r="AB132" s="364">
        <f t="shared" si="73"/>
        <v>194400</v>
      </c>
      <c r="AC132" s="364">
        <f t="shared" si="73"/>
        <v>388800</v>
      </c>
      <c r="AD132" s="364">
        <f t="shared" si="73"/>
        <v>194400</v>
      </c>
      <c r="AE132" s="364">
        <f t="shared" si="73"/>
        <v>388800</v>
      </c>
      <c r="AF132" s="364">
        <f t="shared" si="73"/>
        <v>388800</v>
      </c>
      <c r="AG132" s="365">
        <f t="shared" si="73"/>
        <v>388800</v>
      </c>
      <c r="AH132" s="75">
        <v>180000</v>
      </c>
      <c r="AI132" s="75">
        <v>360000</v>
      </c>
      <c r="AJ132" s="76">
        <v>60000</v>
      </c>
      <c r="AK132" s="366">
        <f t="shared" si="73"/>
        <v>194400</v>
      </c>
      <c r="AL132" s="364">
        <f t="shared" si="73"/>
        <v>194400</v>
      </c>
      <c r="AM132" s="75">
        <v>150000</v>
      </c>
      <c r="AN132" s="75">
        <v>60000</v>
      </c>
      <c r="AO132" s="364">
        <f t="shared" si="54"/>
        <v>583200</v>
      </c>
      <c r="AP132" s="364">
        <f t="shared" si="54"/>
        <v>388800</v>
      </c>
      <c r="AQ132" s="364">
        <f t="shared" si="54"/>
        <v>194400</v>
      </c>
    </row>
    <row r="133" spans="1:43" ht="14.25" x14ac:dyDescent="0.15">
      <c r="A133" s="343"/>
      <c r="B133" s="105" t="s">
        <v>79</v>
      </c>
      <c r="C133" s="309">
        <f t="shared" si="69"/>
        <v>1080000</v>
      </c>
      <c r="D133" s="309">
        <f t="shared" si="69"/>
        <v>594000</v>
      </c>
      <c r="E133" s="309">
        <f t="shared" si="69"/>
        <v>594000</v>
      </c>
      <c r="F133" s="309">
        <f t="shared" si="69"/>
        <v>594000</v>
      </c>
      <c r="G133" s="309">
        <f t="shared" si="69"/>
        <v>594000</v>
      </c>
      <c r="H133" s="317">
        <f t="shared" si="49"/>
        <v>736200</v>
      </c>
      <c r="I133" s="317">
        <f t="shared" si="49"/>
        <v>883440</v>
      </c>
      <c r="J133" s="42" t="s">
        <v>1183</v>
      </c>
      <c r="K133" s="309"/>
      <c r="L133" s="309">
        <f t="shared" si="50"/>
        <v>864000</v>
      </c>
      <c r="M133" s="316">
        <f t="shared" si="51"/>
        <v>1036800</v>
      </c>
      <c r="N133" s="316">
        <f t="shared" ref="N133:P133" si="74">+N29*0.9</f>
        <v>1244160</v>
      </c>
      <c r="O133" s="316">
        <f t="shared" si="74"/>
        <v>1244160</v>
      </c>
      <c r="P133" s="316">
        <f t="shared" si="74"/>
        <v>1451520</v>
      </c>
      <c r="Q133" s="316">
        <f t="shared" si="51"/>
        <v>103680</v>
      </c>
      <c r="R133" s="107"/>
      <c r="S133" s="77">
        <v>25000</v>
      </c>
      <c r="T133" s="110">
        <v>60000</v>
      </c>
      <c r="U133" s="110"/>
      <c r="V133" s="110">
        <v>3000</v>
      </c>
      <c r="W133" s="320"/>
      <c r="X133" s="110">
        <v>2000</v>
      </c>
      <c r="Y133" s="113">
        <v>2000</v>
      </c>
      <c r="Z133" s="363">
        <f t="shared" ref="Z133:AL133" si="75">+Z29*0.9</f>
        <v>108000</v>
      </c>
      <c r="AA133" s="364">
        <f t="shared" si="75"/>
        <v>432000</v>
      </c>
      <c r="AB133" s="364">
        <f t="shared" si="75"/>
        <v>216000</v>
      </c>
      <c r="AC133" s="364">
        <f t="shared" si="75"/>
        <v>432000</v>
      </c>
      <c r="AD133" s="364">
        <f t="shared" si="75"/>
        <v>216000</v>
      </c>
      <c r="AE133" s="364">
        <f t="shared" si="75"/>
        <v>432000</v>
      </c>
      <c r="AF133" s="364">
        <f t="shared" si="75"/>
        <v>432000</v>
      </c>
      <c r="AG133" s="365">
        <f t="shared" si="75"/>
        <v>432000</v>
      </c>
      <c r="AH133" s="78">
        <v>180000</v>
      </c>
      <c r="AI133" s="78">
        <v>360000</v>
      </c>
      <c r="AJ133" s="79">
        <v>60000</v>
      </c>
      <c r="AK133" s="366">
        <f t="shared" si="75"/>
        <v>216000</v>
      </c>
      <c r="AL133" s="364">
        <f t="shared" si="75"/>
        <v>216000</v>
      </c>
      <c r="AM133" s="75">
        <v>150000</v>
      </c>
      <c r="AN133" s="75">
        <v>60000</v>
      </c>
      <c r="AO133" s="364">
        <f t="shared" si="54"/>
        <v>648000</v>
      </c>
      <c r="AP133" s="364">
        <f t="shared" si="54"/>
        <v>432000</v>
      </c>
      <c r="AQ133" s="364">
        <f t="shared" si="54"/>
        <v>216000</v>
      </c>
    </row>
    <row r="134" spans="1:43" ht="14.25" x14ac:dyDescent="0.15">
      <c r="A134" s="343"/>
      <c r="B134" s="105" t="s">
        <v>939</v>
      </c>
      <c r="C134" s="309">
        <f t="shared" si="69"/>
        <v>1512000</v>
      </c>
      <c r="D134" s="309">
        <f t="shared" si="69"/>
        <v>831600</v>
      </c>
      <c r="E134" s="309">
        <f t="shared" si="69"/>
        <v>831600</v>
      </c>
      <c r="F134" s="309">
        <f t="shared" si="69"/>
        <v>831600</v>
      </c>
      <c r="G134" s="309">
        <f t="shared" si="69"/>
        <v>831600</v>
      </c>
      <c r="H134" s="317">
        <f t="shared" si="49"/>
        <v>950400</v>
      </c>
      <c r="I134" s="317">
        <f t="shared" si="49"/>
        <v>1140480</v>
      </c>
      <c r="J134" s="42" t="s">
        <v>1183</v>
      </c>
      <c r="K134" s="309"/>
      <c r="L134" s="309">
        <f t="shared" si="50"/>
        <v>972000</v>
      </c>
      <c r="M134" s="316">
        <f t="shared" si="51"/>
        <v>1166400</v>
      </c>
      <c r="N134" s="316">
        <f t="shared" ref="N134:P134" si="76">+N30*0.9</f>
        <v>1399680</v>
      </c>
      <c r="O134" s="316">
        <f t="shared" si="76"/>
        <v>1399680</v>
      </c>
      <c r="P134" s="316">
        <f t="shared" si="76"/>
        <v>1632960</v>
      </c>
      <c r="Q134" s="316">
        <f t="shared" si="51"/>
        <v>116640</v>
      </c>
      <c r="R134" s="107"/>
      <c r="S134" s="77">
        <v>25000</v>
      </c>
      <c r="T134" s="110">
        <v>60000</v>
      </c>
      <c r="U134" s="110"/>
      <c r="V134" s="110">
        <v>3000</v>
      </c>
      <c r="W134" s="320"/>
      <c r="X134" s="110">
        <v>2000</v>
      </c>
      <c r="Y134" s="113">
        <v>2000</v>
      </c>
      <c r="Z134" s="363">
        <f t="shared" ref="Z134:AL134" si="77">+Z30*0.9</f>
        <v>151200</v>
      </c>
      <c r="AA134" s="364">
        <f t="shared" si="77"/>
        <v>604800</v>
      </c>
      <c r="AB134" s="364">
        <f t="shared" si="77"/>
        <v>302400</v>
      </c>
      <c r="AC134" s="364">
        <f t="shared" si="77"/>
        <v>604800</v>
      </c>
      <c r="AD134" s="364">
        <f t="shared" si="77"/>
        <v>302400</v>
      </c>
      <c r="AE134" s="364">
        <f t="shared" si="77"/>
        <v>604800</v>
      </c>
      <c r="AF134" s="364">
        <f t="shared" si="77"/>
        <v>604800</v>
      </c>
      <c r="AG134" s="365">
        <f t="shared" si="77"/>
        <v>604800</v>
      </c>
      <c r="AH134" s="75">
        <v>180000</v>
      </c>
      <c r="AI134" s="75">
        <v>360000</v>
      </c>
      <c r="AJ134" s="76">
        <v>60000</v>
      </c>
      <c r="AK134" s="366">
        <f t="shared" si="77"/>
        <v>302400</v>
      </c>
      <c r="AL134" s="364">
        <f t="shared" si="77"/>
        <v>302400</v>
      </c>
      <c r="AM134" s="75">
        <v>150000</v>
      </c>
      <c r="AN134" s="75">
        <v>60000</v>
      </c>
      <c r="AO134" s="364">
        <f t="shared" si="54"/>
        <v>907200</v>
      </c>
      <c r="AP134" s="364">
        <f t="shared" si="54"/>
        <v>604800</v>
      </c>
      <c r="AQ134" s="364">
        <f t="shared" si="54"/>
        <v>302400</v>
      </c>
    </row>
    <row r="135" spans="1:43" ht="14.25" x14ac:dyDescent="0.15">
      <c r="A135" s="343"/>
      <c r="B135" s="105" t="s">
        <v>940</v>
      </c>
      <c r="C135" s="309">
        <f t="shared" si="69"/>
        <v>1512000</v>
      </c>
      <c r="D135" s="309">
        <f t="shared" si="69"/>
        <v>831600</v>
      </c>
      <c r="E135" s="309">
        <f t="shared" si="69"/>
        <v>831600</v>
      </c>
      <c r="F135" s="309">
        <f t="shared" si="69"/>
        <v>831600</v>
      </c>
      <c r="G135" s="309">
        <f t="shared" si="69"/>
        <v>831600</v>
      </c>
      <c r="H135" s="317">
        <f t="shared" si="49"/>
        <v>950400</v>
      </c>
      <c r="I135" s="317">
        <f t="shared" si="49"/>
        <v>1140480</v>
      </c>
      <c r="J135" s="42" t="s">
        <v>1183</v>
      </c>
      <c r="K135" s="309"/>
      <c r="L135" s="309">
        <f t="shared" si="50"/>
        <v>972000</v>
      </c>
      <c r="M135" s="316">
        <f t="shared" si="51"/>
        <v>1166400</v>
      </c>
      <c r="N135" s="316">
        <f t="shared" ref="N135:P135" si="78">+N31*0.9</f>
        <v>1399680</v>
      </c>
      <c r="O135" s="316">
        <f t="shared" si="78"/>
        <v>1399680</v>
      </c>
      <c r="P135" s="316">
        <f t="shared" si="78"/>
        <v>1632960</v>
      </c>
      <c r="Q135" s="316">
        <f t="shared" si="51"/>
        <v>116640</v>
      </c>
      <c r="R135" s="107"/>
      <c r="S135" s="77">
        <v>25000</v>
      </c>
      <c r="T135" s="110">
        <v>60000</v>
      </c>
      <c r="U135" s="110"/>
      <c r="V135" s="110">
        <v>3000</v>
      </c>
      <c r="W135" s="320"/>
      <c r="X135" s="110">
        <v>2000</v>
      </c>
      <c r="Y135" s="113">
        <v>2000</v>
      </c>
      <c r="Z135" s="363">
        <f t="shared" ref="Z135:AL135" si="79">+Z31*0.9</f>
        <v>151200</v>
      </c>
      <c r="AA135" s="364">
        <f t="shared" si="79"/>
        <v>604800</v>
      </c>
      <c r="AB135" s="364">
        <f t="shared" si="79"/>
        <v>302400</v>
      </c>
      <c r="AC135" s="364">
        <f t="shared" si="79"/>
        <v>604800</v>
      </c>
      <c r="AD135" s="364">
        <f t="shared" si="79"/>
        <v>302400</v>
      </c>
      <c r="AE135" s="364">
        <f t="shared" si="79"/>
        <v>604800</v>
      </c>
      <c r="AF135" s="364">
        <f t="shared" si="79"/>
        <v>604800</v>
      </c>
      <c r="AG135" s="365">
        <f t="shared" si="79"/>
        <v>604800</v>
      </c>
      <c r="AH135" s="75">
        <v>180000</v>
      </c>
      <c r="AI135" s="75">
        <v>360000</v>
      </c>
      <c r="AJ135" s="76">
        <v>60000</v>
      </c>
      <c r="AK135" s="366">
        <f t="shared" si="79"/>
        <v>302400</v>
      </c>
      <c r="AL135" s="364">
        <f t="shared" si="79"/>
        <v>302400</v>
      </c>
      <c r="AM135" s="75">
        <v>150000</v>
      </c>
      <c r="AN135" s="75">
        <v>60000</v>
      </c>
      <c r="AO135" s="364">
        <f t="shared" si="54"/>
        <v>907200</v>
      </c>
      <c r="AP135" s="364">
        <f t="shared" si="54"/>
        <v>604800</v>
      </c>
      <c r="AQ135" s="364">
        <f t="shared" si="54"/>
        <v>302400</v>
      </c>
    </row>
    <row r="136" spans="1:43" ht="14.25" x14ac:dyDescent="0.15">
      <c r="A136" s="343"/>
      <c r="B136" s="105" t="s">
        <v>80</v>
      </c>
      <c r="C136" s="309">
        <f t="shared" ref="C136:G137" si="80">+C32*0.9</f>
        <v>1944000</v>
      </c>
      <c r="D136" s="309">
        <f t="shared" ref="D136:F136" si="81">+D32*0.9</f>
        <v>1026000</v>
      </c>
      <c r="E136" s="309">
        <f t="shared" si="81"/>
        <v>1026000</v>
      </c>
      <c r="F136" s="309">
        <f t="shared" si="81"/>
        <v>1026000</v>
      </c>
      <c r="G136" s="309">
        <f t="shared" si="80"/>
        <v>1026000</v>
      </c>
      <c r="H136" s="317">
        <f t="shared" ref="H136:I137" si="82">+H32*0.9</f>
        <v>1306800</v>
      </c>
      <c r="I136" s="317">
        <f t="shared" si="82"/>
        <v>1568160</v>
      </c>
      <c r="J136" s="42" t="s">
        <v>1183</v>
      </c>
      <c r="K136" s="309"/>
      <c r="L136" s="309">
        <f t="shared" ref="L136:L137" si="83">+L32*0.9</f>
        <v>1404000</v>
      </c>
      <c r="M136" s="316">
        <f t="shared" ref="M136:Q137" si="84">+M32*0.9</f>
        <v>1684800</v>
      </c>
      <c r="N136" s="316">
        <f t="shared" ref="N136:P136" si="85">+N32*0.9</f>
        <v>2021760</v>
      </c>
      <c r="O136" s="316">
        <f t="shared" si="85"/>
        <v>2021760</v>
      </c>
      <c r="P136" s="316">
        <f t="shared" si="85"/>
        <v>2358720</v>
      </c>
      <c r="Q136" s="316">
        <f t="shared" si="84"/>
        <v>168480</v>
      </c>
      <c r="R136" s="107"/>
      <c r="S136" s="77">
        <v>25000</v>
      </c>
      <c r="T136" s="110">
        <v>60000</v>
      </c>
      <c r="U136" s="110"/>
      <c r="V136" s="110">
        <v>3000</v>
      </c>
      <c r="W136" s="320"/>
      <c r="X136" s="110">
        <v>2000</v>
      </c>
      <c r="Y136" s="113">
        <v>2000</v>
      </c>
      <c r="Z136" s="363">
        <f t="shared" ref="Z136:AQ136" si="86">+Z32*0.9</f>
        <v>194400</v>
      </c>
      <c r="AA136" s="364">
        <f t="shared" si="86"/>
        <v>777600</v>
      </c>
      <c r="AB136" s="364">
        <f t="shared" si="86"/>
        <v>388800</v>
      </c>
      <c r="AC136" s="364">
        <f t="shared" si="86"/>
        <v>777600</v>
      </c>
      <c r="AD136" s="364">
        <f t="shared" si="86"/>
        <v>388800</v>
      </c>
      <c r="AE136" s="364">
        <f t="shared" si="86"/>
        <v>777600</v>
      </c>
      <c r="AF136" s="364">
        <f t="shared" si="86"/>
        <v>777600</v>
      </c>
      <c r="AG136" s="365">
        <f t="shared" si="86"/>
        <v>777600</v>
      </c>
      <c r="AH136" s="78">
        <v>180000</v>
      </c>
      <c r="AI136" s="78">
        <v>360000</v>
      </c>
      <c r="AJ136" s="79">
        <v>60000</v>
      </c>
      <c r="AK136" s="366">
        <f t="shared" si="86"/>
        <v>388800</v>
      </c>
      <c r="AL136" s="364">
        <f t="shared" si="86"/>
        <v>388800</v>
      </c>
      <c r="AM136" s="75">
        <v>150000</v>
      </c>
      <c r="AN136" s="75">
        <v>60000</v>
      </c>
      <c r="AO136" s="364">
        <f t="shared" si="86"/>
        <v>1166400</v>
      </c>
      <c r="AP136" s="364">
        <f t="shared" si="86"/>
        <v>777600</v>
      </c>
      <c r="AQ136" s="364">
        <f t="shared" si="86"/>
        <v>388800</v>
      </c>
    </row>
    <row r="137" spans="1:43" ht="14.25" x14ac:dyDescent="0.15">
      <c r="A137" s="676"/>
      <c r="B137" s="105" t="s">
        <v>81</v>
      </c>
      <c r="C137" s="309">
        <f t="shared" si="80"/>
        <v>2592000</v>
      </c>
      <c r="D137" s="309">
        <f t="shared" ref="D137:F137" si="87">+D33*0.9</f>
        <v>1242000</v>
      </c>
      <c r="E137" s="309">
        <f t="shared" si="87"/>
        <v>1242000</v>
      </c>
      <c r="F137" s="309">
        <f t="shared" si="87"/>
        <v>1242000</v>
      </c>
      <c r="G137" s="309">
        <f t="shared" si="80"/>
        <v>1242000</v>
      </c>
      <c r="H137" s="317">
        <f t="shared" si="82"/>
        <v>1603800</v>
      </c>
      <c r="I137" s="317">
        <f t="shared" si="82"/>
        <v>1924560</v>
      </c>
      <c r="J137" s="42" t="s">
        <v>1183</v>
      </c>
      <c r="K137" s="309"/>
      <c r="L137" s="309">
        <f t="shared" si="83"/>
        <v>1620000</v>
      </c>
      <c r="M137" s="316">
        <f t="shared" si="84"/>
        <v>1944000</v>
      </c>
      <c r="N137" s="316">
        <f t="shared" ref="N137:P137" si="88">+N33*0.9</f>
        <v>2332800</v>
      </c>
      <c r="O137" s="316">
        <f t="shared" si="88"/>
        <v>2332800</v>
      </c>
      <c r="P137" s="316">
        <f t="shared" si="88"/>
        <v>2721600</v>
      </c>
      <c r="Q137" s="316">
        <f t="shared" si="84"/>
        <v>194400</v>
      </c>
      <c r="R137" s="107"/>
      <c r="S137" s="77">
        <v>25000</v>
      </c>
      <c r="T137" s="110">
        <v>60000</v>
      </c>
      <c r="U137" s="110"/>
      <c r="V137" s="110">
        <v>3000</v>
      </c>
      <c r="W137" s="320"/>
      <c r="X137" s="110">
        <v>2000</v>
      </c>
      <c r="Y137" s="113">
        <v>2000</v>
      </c>
      <c r="Z137" s="363">
        <f t="shared" ref="Z137:AQ137" si="89">+Z33*0.9</f>
        <v>259200</v>
      </c>
      <c r="AA137" s="364">
        <f t="shared" si="89"/>
        <v>1036800</v>
      </c>
      <c r="AB137" s="364">
        <f t="shared" si="89"/>
        <v>518400</v>
      </c>
      <c r="AC137" s="364">
        <f t="shared" si="89"/>
        <v>1036800</v>
      </c>
      <c r="AD137" s="364">
        <f t="shared" si="89"/>
        <v>518400</v>
      </c>
      <c r="AE137" s="364">
        <f t="shared" si="89"/>
        <v>1036800</v>
      </c>
      <c r="AF137" s="364">
        <f t="shared" si="89"/>
        <v>1036800</v>
      </c>
      <c r="AG137" s="365">
        <f t="shared" si="89"/>
        <v>1036800</v>
      </c>
      <c r="AH137" s="75">
        <v>180000</v>
      </c>
      <c r="AI137" s="75">
        <v>360000</v>
      </c>
      <c r="AJ137" s="76">
        <v>60000</v>
      </c>
      <c r="AK137" s="366">
        <f t="shared" si="89"/>
        <v>518400</v>
      </c>
      <c r="AL137" s="364">
        <f t="shared" si="89"/>
        <v>518400</v>
      </c>
      <c r="AM137" s="75">
        <v>150000</v>
      </c>
      <c r="AN137" s="75">
        <v>60000</v>
      </c>
      <c r="AO137" s="364">
        <f t="shared" si="89"/>
        <v>1555200</v>
      </c>
      <c r="AP137" s="364">
        <f t="shared" si="89"/>
        <v>1036800</v>
      </c>
      <c r="AQ137" s="364">
        <f t="shared" si="89"/>
        <v>518400</v>
      </c>
    </row>
    <row r="138" spans="1:43" ht="14.25" x14ac:dyDescent="0.15">
      <c r="A138" s="379"/>
      <c r="B138" s="37"/>
      <c r="C138" s="324"/>
      <c r="D138" s="324"/>
      <c r="E138" s="324"/>
      <c r="F138" s="324"/>
      <c r="G138" s="324"/>
      <c r="H138" s="380"/>
      <c r="I138" s="380"/>
      <c r="J138" s="324"/>
      <c r="K138" s="324"/>
      <c r="L138" s="324"/>
      <c r="M138" s="324"/>
      <c r="N138" s="324"/>
      <c r="O138" s="324"/>
      <c r="P138" s="324"/>
      <c r="Q138" s="324"/>
      <c r="R138" s="40"/>
      <c r="S138" s="114"/>
      <c r="T138" s="114"/>
      <c r="U138" s="114"/>
      <c r="V138" s="114"/>
      <c r="W138" s="324"/>
      <c r="X138" s="114"/>
      <c r="Y138" s="114"/>
      <c r="Z138" s="326"/>
      <c r="AA138" s="381"/>
      <c r="AB138" s="381"/>
      <c r="AC138" s="381"/>
      <c r="AD138" s="381"/>
      <c r="AE138" s="381"/>
      <c r="AF138" s="381"/>
      <c r="AG138" s="381"/>
      <c r="AH138" s="326"/>
      <c r="AI138" s="326"/>
      <c r="AJ138" s="326"/>
      <c r="AK138" s="381"/>
      <c r="AL138" s="381"/>
      <c r="AM138" s="326"/>
      <c r="AN138" s="326"/>
      <c r="AO138" s="381"/>
      <c r="AP138" s="381"/>
      <c r="AQ138" s="381"/>
    </row>
    <row r="139" spans="1:43" ht="14.25" hidden="1" x14ac:dyDescent="0.15">
      <c r="A139" s="379"/>
      <c r="B139" s="37"/>
      <c r="C139" s="324"/>
      <c r="D139" s="324"/>
      <c r="E139" s="324"/>
      <c r="F139" s="324"/>
      <c r="G139" s="324"/>
      <c r="H139" s="380"/>
      <c r="I139" s="380"/>
      <c r="J139" s="324"/>
      <c r="K139" s="324"/>
      <c r="L139" s="324"/>
      <c r="M139" s="324"/>
      <c r="N139" s="324"/>
      <c r="O139" s="324"/>
      <c r="P139" s="324"/>
      <c r="Q139" s="324"/>
      <c r="R139" s="40"/>
      <c r="S139" s="114"/>
      <c r="T139" s="114"/>
      <c r="U139" s="114"/>
      <c r="V139" s="114"/>
      <c r="W139" s="324"/>
      <c r="X139" s="114"/>
      <c r="Y139" s="114"/>
      <c r="Z139" s="326"/>
      <c r="AA139" s="381"/>
      <c r="AB139" s="381"/>
      <c r="AC139" s="381"/>
      <c r="AD139" s="381"/>
      <c r="AE139" s="381"/>
      <c r="AF139" s="381"/>
      <c r="AG139" s="381"/>
      <c r="AH139" s="326"/>
      <c r="AI139" s="326"/>
      <c r="AJ139" s="326"/>
      <c r="AK139" s="381"/>
      <c r="AL139" s="381"/>
      <c r="AM139" s="326"/>
      <c r="AN139" s="326"/>
      <c r="AO139" s="381"/>
      <c r="AP139" s="381"/>
      <c r="AQ139" s="381"/>
    </row>
    <row r="140" spans="1:43" ht="14.25" hidden="1" x14ac:dyDescent="0.15">
      <c r="A140" s="379"/>
      <c r="B140" s="37"/>
      <c r="C140" s="324"/>
      <c r="D140" s="324"/>
      <c r="E140" s="324"/>
      <c r="F140" s="324"/>
      <c r="G140" s="324"/>
      <c r="H140" s="380"/>
      <c r="I140" s="380"/>
      <c r="J140" s="324"/>
      <c r="K140" s="324"/>
      <c r="L140" s="324"/>
      <c r="M140" s="324"/>
      <c r="N140" s="324"/>
      <c r="O140" s="324"/>
      <c r="P140" s="324"/>
      <c r="Q140" s="324"/>
      <c r="R140" s="40"/>
      <c r="S140" s="114"/>
      <c r="T140" s="114"/>
      <c r="U140" s="114"/>
      <c r="V140" s="114"/>
      <c r="W140" s="324"/>
      <c r="X140" s="114"/>
      <c r="Y140" s="114"/>
      <c r="Z140" s="326"/>
      <c r="AA140" s="381"/>
      <c r="AB140" s="381"/>
      <c r="AC140" s="381"/>
      <c r="AD140" s="381"/>
      <c r="AE140" s="381"/>
      <c r="AF140" s="381"/>
      <c r="AG140" s="381"/>
      <c r="AH140" s="326"/>
      <c r="AI140" s="326"/>
      <c r="AJ140" s="326"/>
      <c r="AK140" s="381"/>
      <c r="AL140" s="381"/>
      <c r="AM140" s="326"/>
      <c r="AN140" s="326"/>
      <c r="AO140" s="381"/>
      <c r="AP140" s="381"/>
      <c r="AQ140" s="381"/>
    </row>
    <row r="141" spans="1:43" ht="14.25" hidden="1" x14ac:dyDescent="0.15">
      <c r="A141" s="379"/>
      <c r="B141" s="37"/>
      <c r="C141" s="324"/>
      <c r="D141" s="324"/>
      <c r="E141" s="324"/>
      <c r="F141" s="324"/>
      <c r="G141" s="324"/>
      <c r="H141" s="380"/>
      <c r="I141" s="380"/>
      <c r="J141" s="324"/>
      <c r="K141" s="324"/>
      <c r="L141" s="324"/>
      <c r="M141" s="324"/>
      <c r="N141" s="324"/>
      <c r="O141" s="324"/>
      <c r="P141" s="324"/>
      <c r="Q141" s="324"/>
      <c r="R141" s="40"/>
      <c r="S141" s="114"/>
      <c r="T141" s="114"/>
      <c r="U141" s="114"/>
      <c r="V141" s="114"/>
      <c r="W141" s="324"/>
      <c r="X141" s="114"/>
      <c r="Y141" s="114"/>
      <c r="Z141" s="326"/>
      <c r="AA141" s="381"/>
      <c r="AB141" s="381"/>
      <c r="AC141" s="381"/>
      <c r="AD141" s="381"/>
      <c r="AE141" s="381"/>
      <c r="AF141" s="381"/>
      <c r="AG141" s="381"/>
      <c r="AH141" s="326"/>
      <c r="AI141" s="326"/>
      <c r="AJ141" s="326"/>
      <c r="AK141" s="381"/>
      <c r="AL141" s="381"/>
      <c r="AM141" s="326"/>
      <c r="AN141" s="326"/>
      <c r="AO141" s="381"/>
      <c r="AP141" s="381"/>
      <c r="AQ141" s="381"/>
    </row>
    <row r="142" spans="1:43" ht="14.25" hidden="1" x14ac:dyDescent="0.15">
      <c r="A142" s="379"/>
      <c r="B142" s="37"/>
      <c r="C142" s="324"/>
      <c r="D142" s="324"/>
      <c r="E142" s="324"/>
      <c r="F142" s="324"/>
      <c r="G142" s="324"/>
      <c r="H142" s="380"/>
      <c r="I142" s="380"/>
      <c r="J142" s="324"/>
      <c r="K142" s="324"/>
      <c r="L142" s="324"/>
      <c r="M142" s="324"/>
      <c r="N142" s="324"/>
      <c r="O142" s="324"/>
      <c r="P142" s="324"/>
      <c r="Q142" s="324"/>
      <c r="R142" s="40"/>
      <c r="S142" s="114"/>
      <c r="T142" s="114"/>
      <c r="U142" s="114"/>
      <c r="V142" s="114"/>
      <c r="W142" s="324"/>
      <c r="X142" s="114"/>
      <c r="Y142" s="114"/>
      <c r="Z142" s="326"/>
      <c r="AA142" s="381"/>
      <c r="AB142" s="381"/>
      <c r="AC142" s="381"/>
      <c r="AD142" s="381"/>
      <c r="AE142" s="381"/>
      <c r="AF142" s="381"/>
      <c r="AG142" s="381"/>
      <c r="AH142" s="326"/>
      <c r="AI142" s="326"/>
      <c r="AJ142" s="326"/>
      <c r="AK142" s="381"/>
      <c r="AL142" s="381"/>
      <c r="AM142" s="326"/>
      <c r="AN142" s="326"/>
      <c r="AO142" s="381"/>
      <c r="AP142" s="381"/>
      <c r="AQ142" s="381"/>
    </row>
    <row r="143" spans="1:43" ht="14.25" hidden="1" x14ac:dyDescent="0.15">
      <c r="A143" s="379"/>
      <c r="B143" s="37"/>
      <c r="C143" s="324"/>
      <c r="D143" s="324"/>
      <c r="E143" s="324"/>
      <c r="F143" s="324"/>
      <c r="G143" s="324"/>
      <c r="H143" s="380"/>
      <c r="I143" s="380"/>
      <c r="J143" s="324"/>
      <c r="K143" s="324"/>
      <c r="L143" s="324"/>
      <c r="M143" s="324"/>
      <c r="N143" s="324"/>
      <c r="O143" s="324"/>
      <c r="P143" s="324"/>
      <c r="Q143" s="324"/>
      <c r="R143" s="40"/>
      <c r="S143" s="114"/>
      <c r="T143" s="114"/>
      <c r="U143" s="114"/>
      <c r="V143" s="114"/>
      <c r="W143" s="324"/>
      <c r="X143" s="114"/>
      <c r="Y143" s="114"/>
      <c r="Z143" s="326"/>
      <c r="AA143" s="381"/>
      <c r="AB143" s="381"/>
      <c r="AC143" s="381"/>
      <c r="AD143" s="381"/>
      <c r="AE143" s="381"/>
      <c r="AF143" s="381"/>
      <c r="AG143" s="381"/>
      <c r="AH143" s="326"/>
      <c r="AI143" s="326"/>
      <c r="AJ143" s="326"/>
      <c r="AK143" s="381"/>
      <c r="AL143" s="381"/>
      <c r="AM143" s="326"/>
      <c r="AN143" s="326"/>
      <c r="AO143" s="381"/>
      <c r="AP143" s="381"/>
      <c r="AQ143" s="381"/>
    </row>
    <row r="144" spans="1:43" ht="14.25" hidden="1" x14ac:dyDescent="0.15">
      <c r="A144" s="379"/>
      <c r="B144" s="37"/>
      <c r="C144" s="324"/>
      <c r="D144" s="324"/>
      <c r="E144" s="324"/>
      <c r="F144" s="324"/>
      <c r="G144" s="324"/>
      <c r="H144" s="380"/>
      <c r="I144" s="380"/>
      <c r="J144" s="324"/>
      <c r="K144" s="324"/>
      <c r="L144" s="324"/>
      <c r="M144" s="324"/>
      <c r="N144" s="324"/>
      <c r="O144" s="324"/>
      <c r="P144" s="324"/>
      <c r="Q144" s="324"/>
      <c r="R144" s="40"/>
      <c r="S144" s="114"/>
      <c r="T144" s="114"/>
      <c r="U144" s="114"/>
      <c r="V144" s="114"/>
      <c r="W144" s="324"/>
      <c r="X144" s="114"/>
      <c r="Y144" s="114"/>
      <c r="Z144" s="326"/>
      <c r="AA144" s="381"/>
      <c r="AB144" s="381"/>
      <c r="AC144" s="381"/>
      <c r="AD144" s="381"/>
      <c r="AE144" s="381"/>
      <c r="AF144" s="381"/>
      <c r="AG144" s="381"/>
      <c r="AH144" s="326"/>
      <c r="AI144" s="326"/>
      <c r="AJ144" s="326"/>
      <c r="AK144" s="381"/>
      <c r="AL144" s="381"/>
      <c r="AM144" s="326"/>
      <c r="AN144" s="326"/>
      <c r="AO144" s="381"/>
      <c r="AP144" s="381"/>
      <c r="AQ144" s="381"/>
    </row>
    <row r="145" spans="1:43" ht="14.25" hidden="1" x14ac:dyDescent="0.15">
      <c r="A145" s="379"/>
      <c r="B145" s="37"/>
      <c r="C145" s="324"/>
      <c r="D145" s="324"/>
      <c r="E145" s="324"/>
      <c r="F145" s="324"/>
      <c r="G145" s="324"/>
      <c r="H145" s="380"/>
      <c r="I145" s="380"/>
      <c r="J145" s="324"/>
      <c r="K145" s="324"/>
      <c r="L145" s="324"/>
      <c r="M145" s="324"/>
      <c r="N145" s="324"/>
      <c r="O145" s="324"/>
      <c r="P145" s="324"/>
      <c r="Q145" s="324"/>
      <c r="R145" s="40"/>
      <c r="S145" s="114"/>
      <c r="T145" s="114"/>
      <c r="U145" s="114"/>
      <c r="V145" s="114"/>
      <c r="W145" s="324"/>
      <c r="X145" s="114"/>
      <c r="Y145" s="114"/>
      <c r="Z145" s="326"/>
      <c r="AA145" s="381"/>
      <c r="AB145" s="381"/>
      <c r="AC145" s="381"/>
      <c r="AD145" s="381"/>
      <c r="AE145" s="381"/>
      <c r="AF145" s="381"/>
      <c r="AG145" s="381"/>
      <c r="AH145" s="326"/>
      <c r="AI145" s="326"/>
      <c r="AJ145" s="326"/>
      <c r="AK145" s="381"/>
      <c r="AL145" s="381"/>
      <c r="AM145" s="326"/>
      <c r="AN145" s="326"/>
      <c r="AO145" s="381"/>
      <c r="AP145" s="381"/>
      <c r="AQ145" s="381"/>
    </row>
    <row r="146" spans="1:43" ht="14.25" hidden="1" x14ac:dyDescent="0.15">
      <c r="A146" s="379"/>
      <c r="B146" s="37"/>
      <c r="C146" s="324"/>
      <c r="D146" s="324"/>
      <c r="E146" s="324"/>
      <c r="F146" s="324"/>
      <c r="G146" s="324"/>
      <c r="H146" s="380"/>
      <c r="I146" s="380"/>
      <c r="J146" s="324"/>
      <c r="K146" s="324"/>
      <c r="L146" s="324"/>
      <c r="M146" s="324"/>
      <c r="N146" s="324"/>
      <c r="O146" s="324"/>
      <c r="P146" s="324"/>
      <c r="Q146" s="324"/>
      <c r="R146" s="40"/>
      <c r="S146" s="114"/>
      <c r="T146" s="114"/>
      <c r="U146" s="114"/>
      <c r="V146" s="114"/>
      <c r="W146" s="324"/>
      <c r="X146" s="114"/>
      <c r="Y146" s="114"/>
      <c r="Z146" s="326"/>
      <c r="AA146" s="381"/>
      <c r="AB146" s="381"/>
      <c r="AC146" s="381"/>
      <c r="AD146" s="381"/>
      <c r="AE146" s="381"/>
      <c r="AF146" s="381"/>
      <c r="AG146" s="381"/>
      <c r="AH146" s="326"/>
      <c r="AI146" s="326"/>
      <c r="AJ146" s="326"/>
      <c r="AK146" s="381"/>
      <c r="AL146" s="381"/>
      <c r="AM146" s="326"/>
      <c r="AN146" s="326"/>
      <c r="AO146" s="381"/>
      <c r="AP146" s="381"/>
      <c r="AQ146" s="381"/>
    </row>
    <row r="147" spans="1:43" ht="14.25" hidden="1" x14ac:dyDescent="0.15">
      <c r="A147" s="379"/>
      <c r="B147" s="37"/>
      <c r="C147" s="324"/>
      <c r="D147" s="324"/>
      <c r="E147" s="324"/>
      <c r="F147" s="324"/>
      <c r="G147" s="324"/>
      <c r="H147" s="380"/>
      <c r="I147" s="380"/>
      <c r="J147" s="324"/>
      <c r="K147" s="324"/>
      <c r="L147" s="324"/>
      <c r="M147" s="324"/>
      <c r="N147" s="324"/>
      <c r="O147" s="324"/>
      <c r="P147" s="324"/>
      <c r="Q147" s="324"/>
      <c r="R147" s="40"/>
      <c r="S147" s="114"/>
      <c r="T147" s="114"/>
      <c r="U147" s="114"/>
      <c r="V147" s="114"/>
      <c r="W147" s="324"/>
      <c r="X147" s="114"/>
      <c r="Y147" s="114"/>
      <c r="Z147" s="326"/>
      <c r="AA147" s="381"/>
      <c r="AB147" s="381"/>
      <c r="AC147" s="381"/>
      <c r="AD147" s="381"/>
      <c r="AE147" s="381"/>
      <c r="AF147" s="381"/>
      <c r="AG147" s="381"/>
      <c r="AH147" s="326"/>
      <c r="AI147" s="326"/>
      <c r="AJ147" s="326"/>
      <c r="AK147" s="381"/>
      <c r="AL147" s="381"/>
      <c r="AM147" s="326"/>
      <c r="AN147" s="326"/>
      <c r="AO147" s="381"/>
      <c r="AP147" s="381"/>
      <c r="AQ147" s="381"/>
    </row>
    <row r="148" spans="1:43" ht="14.25" hidden="1" x14ac:dyDescent="0.15">
      <c r="A148" s="379"/>
      <c r="B148" s="37"/>
      <c r="C148" s="324"/>
      <c r="D148" s="324"/>
      <c r="E148" s="324"/>
      <c r="F148" s="324"/>
      <c r="G148" s="324"/>
      <c r="H148" s="380"/>
      <c r="I148" s="380"/>
      <c r="J148" s="324"/>
      <c r="K148" s="324"/>
      <c r="L148" s="324"/>
      <c r="M148" s="324"/>
      <c r="N148" s="324"/>
      <c r="O148" s="324"/>
      <c r="P148" s="324"/>
      <c r="Q148" s="324"/>
      <c r="R148" s="40"/>
      <c r="S148" s="114"/>
      <c r="T148" s="114"/>
      <c r="U148" s="114"/>
      <c r="V148" s="114"/>
      <c r="W148" s="324"/>
      <c r="X148" s="114"/>
      <c r="Y148" s="114"/>
      <c r="Z148" s="326"/>
      <c r="AA148" s="381"/>
      <c r="AB148" s="381"/>
      <c r="AC148" s="381"/>
      <c r="AD148" s="381"/>
      <c r="AE148" s="381"/>
      <c r="AF148" s="381"/>
      <c r="AG148" s="381"/>
      <c r="AH148" s="326"/>
      <c r="AI148" s="326"/>
      <c r="AJ148" s="326"/>
      <c r="AK148" s="381"/>
      <c r="AL148" s="381"/>
      <c r="AM148" s="326"/>
      <c r="AN148" s="326"/>
      <c r="AO148" s="381"/>
      <c r="AP148" s="381"/>
      <c r="AQ148" s="381"/>
    </row>
    <row r="149" spans="1:43" ht="14.25" hidden="1" x14ac:dyDescent="0.15">
      <c r="A149" s="379"/>
      <c r="B149" s="37"/>
      <c r="C149" s="324"/>
      <c r="D149" s="324"/>
      <c r="E149" s="324"/>
      <c r="F149" s="324"/>
      <c r="G149" s="324"/>
      <c r="H149" s="380"/>
      <c r="I149" s="380"/>
      <c r="J149" s="324"/>
      <c r="K149" s="324"/>
      <c r="L149" s="324"/>
      <c r="M149" s="324"/>
      <c r="N149" s="324"/>
      <c r="O149" s="324"/>
      <c r="P149" s="324"/>
      <c r="Q149" s="324"/>
      <c r="R149" s="40"/>
      <c r="S149" s="114"/>
      <c r="T149" s="114"/>
      <c r="U149" s="114"/>
      <c r="V149" s="114"/>
      <c r="W149" s="324"/>
      <c r="X149" s="114"/>
      <c r="Y149" s="114"/>
      <c r="Z149" s="326"/>
      <c r="AA149" s="381"/>
      <c r="AB149" s="381"/>
      <c r="AC149" s="381"/>
      <c r="AD149" s="381"/>
      <c r="AE149" s="381"/>
      <c r="AF149" s="381"/>
      <c r="AG149" s="381"/>
      <c r="AH149" s="326"/>
      <c r="AI149" s="326"/>
      <c r="AJ149" s="326"/>
      <c r="AK149" s="381"/>
      <c r="AL149" s="381"/>
      <c r="AM149" s="326"/>
      <c r="AN149" s="326"/>
      <c r="AO149" s="381"/>
      <c r="AP149" s="381"/>
      <c r="AQ149" s="381"/>
    </row>
    <row r="150" spans="1:43" ht="14.25" hidden="1" x14ac:dyDescent="0.15">
      <c r="A150" s="379"/>
      <c r="B150" s="37"/>
      <c r="C150" s="324"/>
      <c r="D150" s="324"/>
      <c r="E150" s="324"/>
      <c r="F150" s="324"/>
      <c r="G150" s="324"/>
      <c r="H150" s="380"/>
      <c r="I150" s="380"/>
      <c r="J150" s="324"/>
      <c r="K150" s="324"/>
      <c r="L150" s="324"/>
      <c r="M150" s="324"/>
      <c r="N150" s="324"/>
      <c r="O150" s="324"/>
      <c r="P150" s="324"/>
      <c r="Q150" s="324"/>
      <c r="R150" s="40"/>
      <c r="S150" s="114"/>
      <c r="T150" s="114"/>
      <c r="U150" s="114"/>
      <c r="V150" s="114"/>
      <c r="W150" s="324"/>
      <c r="X150" s="114"/>
      <c r="Y150" s="114"/>
      <c r="Z150" s="326"/>
      <c r="AA150" s="381"/>
      <c r="AB150" s="381"/>
      <c r="AC150" s="381"/>
      <c r="AD150" s="381"/>
      <c r="AE150" s="381"/>
      <c r="AF150" s="381"/>
      <c r="AG150" s="381"/>
      <c r="AH150" s="326"/>
      <c r="AI150" s="326"/>
      <c r="AJ150" s="326"/>
      <c r="AK150" s="381"/>
      <c r="AL150" s="381"/>
      <c r="AM150" s="326"/>
      <c r="AN150" s="326"/>
      <c r="AO150" s="381"/>
      <c r="AP150" s="381"/>
      <c r="AQ150" s="381"/>
    </row>
    <row r="151" spans="1:43" ht="14.25" hidden="1" x14ac:dyDescent="0.15">
      <c r="A151" s="379"/>
      <c r="B151" s="37"/>
      <c r="C151" s="324"/>
      <c r="D151" s="324"/>
      <c r="E151" s="324"/>
      <c r="F151" s="324"/>
      <c r="G151" s="324"/>
      <c r="H151" s="380"/>
      <c r="I151" s="380"/>
      <c r="J151" s="324"/>
      <c r="K151" s="324"/>
      <c r="L151" s="324"/>
      <c r="M151" s="324"/>
      <c r="N151" s="324"/>
      <c r="O151" s="324"/>
      <c r="P151" s="324"/>
      <c r="Q151" s="324"/>
      <c r="R151" s="40"/>
      <c r="S151" s="114"/>
      <c r="T151" s="114"/>
      <c r="U151" s="114"/>
      <c r="V151" s="114"/>
      <c r="W151" s="324"/>
      <c r="X151" s="114"/>
      <c r="Y151" s="114"/>
      <c r="Z151" s="326"/>
      <c r="AA151" s="381"/>
      <c r="AB151" s="381"/>
      <c r="AC151" s="381"/>
      <c r="AD151" s="381"/>
      <c r="AE151" s="381"/>
      <c r="AF151" s="381"/>
      <c r="AG151" s="381"/>
      <c r="AH151" s="326"/>
      <c r="AI151" s="326"/>
      <c r="AJ151" s="326"/>
      <c r="AK151" s="381"/>
      <c r="AL151" s="381"/>
      <c r="AM151" s="326"/>
      <c r="AN151" s="326"/>
      <c r="AO151" s="381"/>
      <c r="AP151" s="381"/>
      <c r="AQ151" s="381"/>
    </row>
    <row r="152" spans="1:43" ht="14.25" hidden="1" x14ac:dyDescent="0.15">
      <c r="A152" s="379"/>
      <c r="B152" s="37"/>
      <c r="C152" s="324"/>
      <c r="D152" s="324"/>
      <c r="E152" s="324"/>
      <c r="F152" s="324"/>
      <c r="G152" s="324"/>
      <c r="H152" s="380"/>
      <c r="I152" s="380"/>
      <c r="J152" s="324"/>
      <c r="K152" s="324"/>
      <c r="L152" s="324"/>
      <c r="M152" s="324"/>
      <c r="N152" s="324"/>
      <c r="O152" s="324"/>
      <c r="P152" s="324"/>
      <c r="Q152" s="324"/>
      <c r="R152" s="40"/>
      <c r="S152" s="114"/>
      <c r="T152" s="114"/>
      <c r="U152" s="114"/>
      <c r="V152" s="114"/>
      <c r="W152" s="324"/>
      <c r="X152" s="114"/>
      <c r="Y152" s="114"/>
      <c r="Z152" s="326"/>
      <c r="AA152" s="381"/>
      <c r="AB152" s="381"/>
      <c r="AC152" s="381"/>
      <c r="AD152" s="381"/>
      <c r="AE152" s="381"/>
      <c r="AF152" s="381"/>
      <c r="AG152" s="381"/>
      <c r="AH152" s="326"/>
      <c r="AI152" s="326"/>
      <c r="AJ152" s="326"/>
      <c r="AK152" s="381"/>
      <c r="AL152" s="381"/>
      <c r="AM152" s="326"/>
      <c r="AN152" s="326"/>
      <c r="AO152" s="381"/>
      <c r="AP152" s="381"/>
      <c r="AQ152" s="381"/>
    </row>
    <row r="153" spans="1:43" ht="14.25" hidden="1" x14ac:dyDescent="0.15">
      <c r="A153" s="379"/>
      <c r="B153" s="37"/>
      <c r="C153" s="324"/>
      <c r="D153" s="324"/>
      <c r="E153" s="324"/>
      <c r="F153" s="324"/>
      <c r="G153" s="324"/>
      <c r="H153" s="380"/>
      <c r="I153" s="380"/>
      <c r="J153" s="324"/>
      <c r="K153" s="324"/>
      <c r="L153" s="324"/>
      <c r="M153" s="324"/>
      <c r="N153" s="324"/>
      <c r="O153" s="324"/>
      <c r="P153" s="324"/>
      <c r="Q153" s="324"/>
      <c r="R153" s="40"/>
      <c r="S153" s="114"/>
      <c r="T153" s="114"/>
      <c r="U153" s="114"/>
      <c r="V153" s="114"/>
      <c r="W153" s="324"/>
      <c r="X153" s="114"/>
      <c r="Y153" s="114"/>
      <c r="Z153" s="326"/>
      <c r="AA153" s="381"/>
      <c r="AB153" s="381"/>
      <c r="AC153" s="381"/>
      <c r="AD153" s="381"/>
      <c r="AE153" s="381"/>
      <c r="AF153" s="381"/>
      <c r="AG153" s="381"/>
      <c r="AH153" s="326"/>
      <c r="AI153" s="326"/>
      <c r="AJ153" s="326"/>
      <c r="AK153" s="381"/>
      <c r="AL153" s="381"/>
      <c r="AM153" s="326"/>
      <c r="AN153" s="326"/>
      <c r="AO153" s="381"/>
      <c r="AP153" s="381"/>
      <c r="AQ153" s="381"/>
    </row>
    <row r="154" spans="1:43" ht="14.25" hidden="1" x14ac:dyDescent="0.15">
      <c r="A154" s="379"/>
      <c r="B154" s="37"/>
      <c r="C154" s="324"/>
      <c r="D154" s="324"/>
      <c r="E154" s="324"/>
      <c r="F154" s="324"/>
      <c r="G154" s="324"/>
      <c r="H154" s="380"/>
      <c r="I154" s="380"/>
      <c r="J154" s="324"/>
      <c r="K154" s="324"/>
      <c r="L154" s="324"/>
      <c r="M154" s="324"/>
      <c r="N154" s="324"/>
      <c r="O154" s="324"/>
      <c r="P154" s="324"/>
      <c r="Q154" s="324"/>
      <c r="R154" s="40"/>
      <c r="S154" s="114"/>
      <c r="T154" s="114"/>
      <c r="U154" s="114"/>
      <c r="V154" s="114"/>
      <c r="W154" s="324"/>
      <c r="X154" s="114"/>
      <c r="Y154" s="114"/>
      <c r="Z154" s="326"/>
      <c r="AA154" s="381"/>
      <c r="AB154" s="381"/>
      <c r="AC154" s="381"/>
      <c r="AD154" s="381"/>
      <c r="AE154" s="381"/>
      <c r="AF154" s="381"/>
      <c r="AG154" s="381"/>
      <c r="AH154" s="326"/>
      <c r="AI154" s="326"/>
      <c r="AJ154" s="326"/>
      <c r="AK154" s="381"/>
      <c r="AL154" s="381"/>
      <c r="AM154" s="326"/>
      <c r="AN154" s="326"/>
      <c r="AO154" s="381"/>
      <c r="AP154" s="381"/>
      <c r="AQ154" s="381"/>
    </row>
    <row r="155" spans="1:43" ht="14.25" hidden="1" x14ac:dyDescent="0.15">
      <c r="A155" s="379"/>
      <c r="B155" s="37"/>
      <c r="C155" s="324"/>
      <c r="D155" s="324"/>
      <c r="E155" s="324"/>
      <c r="F155" s="324"/>
      <c r="G155" s="324"/>
      <c r="H155" s="380"/>
      <c r="I155" s="380"/>
      <c r="J155" s="324"/>
      <c r="K155" s="324"/>
      <c r="L155" s="324"/>
      <c r="M155" s="324"/>
      <c r="N155" s="324"/>
      <c r="O155" s="324"/>
      <c r="P155" s="324"/>
      <c r="Q155" s="324"/>
      <c r="R155" s="40"/>
      <c r="S155" s="114"/>
      <c r="T155" s="114"/>
      <c r="U155" s="114"/>
      <c r="V155" s="114"/>
      <c r="W155" s="324"/>
      <c r="X155" s="114"/>
      <c r="Y155" s="114"/>
      <c r="Z155" s="326"/>
      <c r="AA155" s="381"/>
      <c r="AB155" s="381"/>
      <c r="AC155" s="381"/>
      <c r="AD155" s="381"/>
      <c r="AE155" s="381"/>
      <c r="AF155" s="381"/>
      <c r="AG155" s="381"/>
      <c r="AH155" s="326"/>
      <c r="AI155" s="326"/>
      <c r="AJ155" s="326"/>
      <c r="AK155" s="381"/>
      <c r="AL155" s="381"/>
      <c r="AM155" s="326"/>
      <c r="AN155" s="326"/>
      <c r="AO155" s="381"/>
      <c r="AP155" s="381"/>
      <c r="AQ155" s="381"/>
    </row>
    <row r="156" spans="1:43" ht="14.25" hidden="1" x14ac:dyDescent="0.15">
      <c r="A156" s="379"/>
      <c r="B156" s="37"/>
      <c r="C156" s="324"/>
      <c r="D156" s="324"/>
      <c r="E156" s="324"/>
      <c r="F156" s="324"/>
      <c r="G156" s="324"/>
      <c r="H156" s="380"/>
      <c r="I156" s="380"/>
      <c r="J156" s="324"/>
      <c r="K156" s="324"/>
      <c r="L156" s="324"/>
      <c r="M156" s="324"/>
      <c r="N156" s="324"/>
      <c r="O156" s="324"/>
      <c r="P156" s="324"/>
      <c r="Q156" s="324"/>
      <c r="R156" s="40"/>
      <c r="S156" s="114"/>
      <c r="T156" s="114"/>
      <c r="U156" s="114"/>
      <c r="V156" s="114"/>
      <c r="W156" s="324"/>
      <c r="X156" s="114"/>
      <c r="Y156" s="114"/>
      <c r="Z156" s="326"/>
      <c r="AA156" s="381"/>
      <c r="AB156" s="381"/>
      <c r="AC156" s="381"/>
      <c r="AD156" s="381"/>
      <c r="AE156" s="381"/>
      <c r="AF156" s="381"/>
      <c r="AG156" s="381"/>
      <c r="AH156" s="326"/>
      <c r="AI156" s="326"/>
      <c r="AJ156" s="326"/>
      <c r="AK156" s="381"/>
      <c r="AL156" s="381"/>
      <c r="AM156" s="326"/>
      <c r="AN156" s="326"/>
      <c r="AO156" s="381"/>
      <c r="AP156" s="381"/>
      <c r="AQ156" s="381"/>
    </row>
    <row r="157" spans="1:43" ht="14.25" hidden="1" x14ac:dyDescent="0.15">
      <c r="A157" s="379"/>
      <c r="B157" s="37"/>
      <c r="C157" s="324"/>
      <c r="D157" s="324"/>
      <c r="E157" s="324"/>
      <c r="F157" s="324"/>
      <c r="G157" s="324"/>
      <c r="H157" s="380"/>
      <c r="I157" s="380"/>
      <c r="J157" s="324"/>
      <c r="K157" s="324"/>
      <c r="L157" s="324"/>
      <c r="M157" s="324"/>
      <c r="N157" s="324"/>
      <c r="O157" s="324"/>
      <c r="P157" s="324"/>
      <c r="Q157" s="324"/>
      <c r="R157" s="40"/>
      <c r="S157" s="114"/>
      <c r="T157" s="114"/>
      <c r="U157" s="114"/>
      <c r="V157" s="114"/>
      <c r="W157" s="324"/>
      <c r="X157" s="114"/>
      <c r="Y157" s="114"/>
      <c r="Z157" s="326"/>
      <c r="AA157" s="381"/>
      <c r="AB157" s="381"/>
      <c r="AC157" s="381"/>
      <c r="AD157" s="381"/>
      <c r="AE157" s="381"/>
      <c r="AF157" s="381"/>
      <c r="AG157" s="381"/>
      <c r="AH157" s="326"/>
      <c r="AI157" s="326"/>
      <c r="AJ157" s="326"/>
      <c r="AK157" s="381"/>
      <c r="AL157" s="381"/>
      <c r="AM157" s="326"/>
      <c r="AN157" s="326"/>
      <c r="AO157" s="381"/>
      <c r="AP157" s="381"/>
      <c r="AQ157" s="381"/>
    </row>
    <row r="158" spans="1:43" ht="14.25" hidden="1" x14ac:dyDescent="0.15">
      <c r="A158" s="379"/>
      <c r="B158" s="37"/>
      <c r="C158" s="324"/>
      <c r="D158" s="324"/>
      <c r="E158" s="324"/>
      <c r="F158" s="324"/>
      <c r="G158" s="324"/>
      <c r="H158" s="380"/>
      <c r="I158" s="380"/>
      <c r="J158" s="324"/>
      <c r="K158" s="324"/>
      <c r="L158" s="324"/>
      <c r="M158" s="324"/>
      <c r="N158" s="324"/>
      <c r="O158" s="324"/>
      <c r="P158" s="324"/>
      <c r="Q158" s="324"/>
      <c r="R158" s="40"/>
      <c r="S158" s="114"/>
      <c r="T158" s="114"/>
      <c r="U158" s="114"/>
      <c r="V158" s="114"/>
      <c r="W158" s="324"/>
      <c r="X158" s="114"/>
      <c r="Y158" s="114"/>
      <c r="Z158" s="326"/>
      <c r="AA158" s="381"/>
      <c r="AB158" s="381"/>
      <c r="AC158" s="381"/>
      <c r="AD158" s="381"/>
      <c r="AE158" s="381"/>
      <c r="AF158" s="381"/>
      <c r="AG158" s="381"/>
      <c r="AH158" s="326"/>
      <c r="AI158" s="326"/>
      <c r="AJ158" s="326"/>
      <c r="AK158" s="381"/>
      <c r="AL158" s="381"/>
      <c r="AM158" s="326"/>
      <c r="AN158" s="326"/>
      <c r="AO158" s="381"/>
      <c r="AP158" s="381"/>
      <c r="AQ158" s="381"/>
    </row>
    <row r="159" spans="1:43" ht="14.25" hidden="1" x14ac:dyDescent="0.15">
      <c r="A159" s="379"/>
      <c r="B159" s="37"/>
      <c r="C159" s="324"/>
      <c r="D159" s="324"/>
      <c r="E159" s="324"/>
      <c r="F159" s="324"/>
      <c r="G159" s="324"/>
      <c r="H159" s="380"/>
      <c r="I159" s="380"/>
      <c r="J159" s="324"/>
      <c r="K159" s="324"/>
      <c r="L159" s="324"/>
      <c r="M159" s="324"/>
      <c r="N159" s="324"/>
      <c r="O159" s="324"/>
      <c r="P159" s="324"/>
      <c r="Q159" s="324"/>
      <c r="R159" s="40"/>
      <c r="S159" s="114"/>
      <c r="T159" s="114"/>
      <c r="U159" s="114"/>
      <c r="V159" s="114"/>
      <c r="W159" s="324"/>
      <c r="X159" s="114"/>
      <c r="Y159" s="114"/>
      <c r="Z159" s="326"/>
      <c r="AA159" s="381"/>
      <c r="AB159" s="381"/>
      <c r="AC159" s="381"/>
      <c r="AD159" s="381"/>
      <c r="AE159" s="381"/>
      <c r="AF159" s="381"/>
      <c r="AG159" s="381"/>
      <c r="AH159" s="326"/>
      <c r="AI159" s="326"/>
      <c r="AJ159" s="326"/>
      <c r="AK159" s="381"/>
      <c r="AL159" s="381"/>
      <c r="AM159" s="326"/>
      <c r="AN159" s="326"/>
      <c r="AO159" s="381"/>
      <c r="AP159" s="381"/>
      <c r="AQ159" s="381"/>
    </row>
    <row r="160" spans="1:43" ht="14.25" hidden="1" x14ac:dyDescent="0.15">
      <c r="A160" s="379"/>
      <c r="B160" s="37"/>
      <c r="C160" s="324"/>
      <c r="D160" s="324"/>
      <c r="E160" s="324"/>
      <c r="F160" s="324"/>
      <c r="G160" s="324"/>
      <c r="H160" s="380"/>
      <c r="I160" s="380"/>
      <c r="J160" s="324"/>
      <c r="K160" s="324"/>
      <c r="L160" s="324"/>
      <c r="M160" s="324"/>
      <c r="N160" s="324"/>
      <c r="O160" s="324"/>
      <c r="P160" s="324"/>
      <c r="Q160" s="324"/>
      <c r="R160" s="40"/>
      <c r="S160" s="114"/>
      <c r="T160" s="114"/>
      <c r="U160" s="114"/>
      <c r="V160" s="114"/>
      <c r="W160" s="324"/>
      <c r="X160" s="114"/>
      <c r="Y160" s="114"/>
      <c r="Z160" s="326"/>
      <c r="AA160" s="381"/>
      <c r="AB160" s="381"/>
      <c r="AC160" s="381"/>
      <c r="AD160" s="381"/>
      <c r="AE160" s="381"/>
      <c r="AF160" s="381"/>
      <c r="AG160" s="381"/>
      <c r="AH160" s="326"/>
      <c r="AI160" s="326"/>
      <c r="AJ160" s="326"/>
      <c r="AK160" s="381"/>
      <c r="AL160" s="381"/>
      <c r="AM160" s="326"/>
      <c r="AN160" s="326"/>
      <c r="AO160" s="381"/>
      <c r="AP160" s="381"/>
      <c r="AQ160" s="381"/>
    </row>
    <row r="161" spans="1:43" ht="14.25" hidden="1" x14ac:dyDescent="0.15">
      <c r="A161" s="379"/>
      <c r="B161" s="37"/>
      <c r="C161" s="324"/>
      <c r="D161" s="324"/>
      <c r="E161" s="324"/>
      <c r="F161" s="324"/>
      <c r="G161" s="324"/>
      <c r="H161" s="380"/>
      <c r="I161" s="380"/>
      <c r="J161" s="324"/>
      <c r="K161" s="324"/>
      <c r="L161" s="324"/>
      <c r="M161" s="324"/>
      <c r="N161" s="324"/>
      <c r="O161" s="324"/>
      <c r="P161" s="324"/>
      <c r="Q161" s="324"/>
      <c r="R161" s="40"/>
      <c r="S161" s="114"/>
      <c r="T161" s="114"/>
      <c r="U161" s="114"/>
      <c r="V161" s="114"/>
      <c r="W161" s="324"/>
      <c r="X161" s="114"/>
      <c r="Y161" s="114"/>
      <c r="Z161" s="326"/>
      <c r="AA161" s="381"/>
      <c r="AB161" s="381"/>
      <c r="AC161" s="381"/>
      <c r="AD161" s="381"/>
      <c r="AE161" s="381"/>
      <c r="AF161" s="381"/>
      <c r="AG161" s="381"/>
      <c r="AH161" s="326"/>
      <c r="AI161" s="326"/>
      <c r="AJ161" s="326"/>
      <c r="AK161" s="381"/>
      <c r="AL161" s="381"/>
      <c r="AM161" s="326"/>
      <c r="AN161" s="326"/>
      <c r="AO161" s="381"/>
      <c r="AP161" s="381"/>
      <c r="AQ161" s="381"/>
    </row>
    <row r="162" spans="1:43" ht="14.25" hidden="1" x14ac:dyDescent="0.15">
      <c r="A162" s="379"/>
      <c r="B162" s="37"/>
      <c r="C162" s="324"/>
      <c r="D162" s="324"/>
      <c r="E162" s="324"/>
      <c r="F162" s="324"/>
      <c r="G162" s="324"/>
      <c r="H162" s="380"/>
      <c r="I162" s="380"/>
      <c r="J162" s="324"/>
      <c r="K162" s="324"/>
      <c r="L162" s="324"/>
      <c r="M162" s="324"/>
      <c r="N162" s="324"/>
      <c r="O162" s="324"/>
      <c r="P162" s="324"/>
      <c r="Q162" s="324"/>
      <c r="R162" s="40"/>
      <c r="S162" s="114"/>
      <c r="T162" s="114"/>
      <c r="U162" s="114"/>
      <c r="V162" s="114"/>
      <c r="W162" s="324"/>
      <c r="X162" s="114"/>
      <c r="Y162" s="114"/>
      <c r="Z162" s="326"/>
      <c r="AA162" s="381"/>
      <c r="AB162" s="381"/>
      <c r="AC162" s="381"/>
      <c r="AD162" s="381"/>
      <c r="AE162" s="381"/>
      <c r="AF162" s="381"/>
      <c r="AG162" s="381"/>
      <c r="AH162" s="326"/>
      <c r="AI162" s="326"/>
      <c r="AJ162" s="326"/>
      <c r="AK162" s="381"/>
      <c r="AL162" s="381"/>
      <c r="AM162" s="326"/>
      <c r="AN162" s="326"/>
      <c r="AO162" s="381"/>
      <c r="AP162" s="381"/>
      <c r="AQ162" s="381"/>
    </row>
    <row r="163" spans="1:43" ht="14.25" hidden="1" x14ac:dyDescent="0.15">
      <c r="A163" s="379"/>
      <c r="B163" s="37"/>
      <c r="C163" s="324"/>
      <c r="D163" s="324"/>
      <c r="E163" s="324"/>
      <c r="F163" s="324"/>
      <c r="G163" s="324"/>
      <c r="H163" s="380"/>
      <c r="I163" s="380"/>
      <c r="J163" s="324"/>
      <c r="K163" s="324"/>
      <c r="L163" s="324"/>
      <c r="M163" s="324"/>
      <c r="N163" s="324"/>
      <c r="O163" s="324"/>
      <c r="P163" s="324"/>
      <c r="Q163" s="324"/>
      <c r="R163" s="40"/>
      <c r="S163" s="114"/>
      <c r="T163" s="114"/>
      <c r="U163" s="114"/>
      <c r="V163" s="114"/>
      <c r="W163" s="324"/>
      <c r="X163" s="114"/>
      <c r="Y163" s="114"/>
      <c r="Z163" s="326"/>
      <c r="AA163" s="381"/>
      <c r="AB163" s="381"/>
      <c r="AC163" s="381"/>
      <c r="AD163" s="381"/>
      <c r="AE163" s="381"/>
      <c r="AF163" s="381"/>
      <c r="AG163" s="381"/>
      <c r="AH163" s="326"/>
      <c r="AI163" s="326"/>
      <c r="AJ163" s="326"/>
      <c r="AK163" s="381"/>
      <c r="AL163" s="381"/>
      <c r="AM163" s="326"/>
      <c r="AN163" s="326"/>
      <c r="AO163" s="381"/>
      <c r="AP163" s="381"/>
      <c r="AQ163" s="381"/>
    </row>
    <row r="164" spans="1:43" ht="14.25" hidden="1" x14ac:dyDescent="0.15">
      <c r="A164" s="379"/>
      <c r="B164" s="37"/>
      <c r="C164" s="324"/>
      <c r="D164" s="324"/>
      <c r="E164" s="324"/>
      <c r="F164" s="324"/>
      <c r="G164" s="324"/>
      <c r="H164" s="380"/>
      <c r="I164" s="380"/>
      <c r="J164" s="324"/>
      <c r="K164" s="324"/>
      <c r="L164" s="324"/>
      <c r="M164" s="324"/>
      <c r="N164" s="324"/>
      <c r="O164" s="324"/>
      <c r="P164" s="324"/>
      <c r="Q164" s="324"/>
      <c r="R164" s="40"/>
      <c r="S164" s="114"/>
      <c r="T164" s="114"/>
      <c r="U164" s="114"/>
      <c r="V164" s="114"/>
      <c r="W164" s="324"/>
      <c r="X164" s="114"/>
      <c r="Y164" s="114"/>
      <c r="Z164" s="326"/>
      <c r="AA164" s="381"/>
      <c r="AB164" s="381"/>
      <c r="AC164" s="381"/>
      <c r="AD164" s="381"/>
      <c r="AE164" s="381"/>
      <c r="AF164" s="381"/>
      <c r="AG164" s="381"/>
      <c r="AH164" s="326"/>
      <c r="AI164" s="326"/>
      <c r="AJ164" s="326"/>
      <c r="AK164" s="381"/>
      <c r="AL164" s="381"/>
      <c r="AM164" s="326"/>
      <c r="AN164" s="326"/>
      <c r="AO164" s="381"/>
      <c r="AP164" s="381"/>
      <c r="AQ164" s="381"/>
    </row>
    <row r="165" spans="1:43" ht="14.25" hidden="1" x14ac:dyDescent="0.15">
      <c r="A165" s="379"/>
      <c r="B165" s="37"/>
      <c r="C165" s="324"/>
      <c r="D165" s="324"/>
      <c r="E165" s="324"/>
      <c r="F165" s="324"/>
      <c r="G165" s="324"/>
      <c r="H165" s="380"/>
      <c r="I165" s="380"/>
      <c r="J165" s="324"/>
      <c r="K165" s="324"/>
      <c r="L165" s="324"/>
      <c r="M165" s="324"/>
      <c r="N165" s="324"/>
      <c r="O165" s="324"/>
      <c r="P165" s="324"/>
      <c r="Q165" s="324"/>
      <c r="R165" s="40"/>
      <c r="S165" s="114"/>
      <c r="T165" s="114"/>
      <c r="U165" s="114"/>
      <c r="V165" s="114"/>
      <c r="W165" s="324"/>
      <c r="X165" s="114"/>
      <c r="Y165" s="114"/>
      <c r="Z165" s="326"/>
      <c r="AA165" s="381"/>
      <c r="AB165" s="381"/>
      <c r="AC165" s="381"/>
      <c r="AD165" s="381"/>
      <c r="AE165" s="381"/>
      <c r="AF165" s="381"/>
      <c r="AG165" s="381"/>
      <c r="AH165" s="326"/>
      <c r="AI165" s="326"/>
      <c r="AJ165" s="326"/>
      <c r="AK165" s="381"/>
      <c r="AL165" s="381"/>
      <c r="AM165" s="326"/>
      <c r="AN165" s="326"/>
      <c r="AO165" s="381"/>
      <c r="AP165" s="381"/>
      <c r="AQ165" s="381"/>
    </row>
    <row r="166" spans="1:43" ht="14.25" hidden="1" x14ac:dyDescent="0.15">
      <c r="A166" s="379"/>
      <c r="B166" s="37"/>
      <c r="C166" s="324"/>
      <c r="D166" s="324"/>
      <c r="E166" s="324"/>
      <c r="F166" s="324"/>
      <c r="G166" s="324"/>
      <c r="H166" s="380"/>
      <c r="I166" s="380"/>
      <c r="J166" s="324"/>
      <c r="K166" s="324"/>
      <c r="L166" s="324"/>
      <c r="M166" s="324"/>
      <c r="N166" s="324"/>
      <c r="O166" s="324"/>
      <c r="P166" s="324"/>
      <c r="Q166" s="324"/>
      <c r="R166" s="40"/>
      <c r="S166" s="114"/>
      <c r="T166" s="114"/>
      <c r="U166" s="114"/>
      <c r="V166" s="114"/>
      <c r="W166" s="324"/>
      <c r="X166" s="114"/>
      <c r="Y166" s="114"/>
      <c r="Z166" s="326"/>
      <c r="AA166" s="381"/>
      <c r="AB166" s="381"/>
      <c r="AC166" s="381"/>
      <c r="AD166" s="381"/>
      <c r="AE166" s="381"/>
      <c r="AF166" s="381"/>
      <c r="AG166" s="381"/>
      <c r="AH166" s="326"/>
      <c r="AI166" s="326"/>
      <c r="AJ166" s="326"/>
      <c r="AK166" s="381"/>
      <c r="AL166" s="381"/>
      <c r="AM166" s="326"/>
      <c r="AN166" s="326"/>
      <c r="AO166" s="381"/>
      <c r="AP166" s="381"/>
      <c r="AQ166" s="381"/>
    </row>
    <row r="167" spans="1:43" ht="14.25" hidden="1" x14ac:dyDescent="0.15">
      <c r="A167" s="379"/>
      <c r="B167" s="37"/>
      <c r="C167" s="324"/>
      <c r="D167" s="324"/>
      <c r="E167" s="324"/>
      <c r="F167" s="324"/>
      <c r="G167" s="324"/>
      <c r="H167" s="380"/>
      <c r="I167" s="380"/>
      <c r="J167" s="324"/>
      <c r="K167" s="324"/>
      <c r="L167" s="324"/>
      <c r="M167" s="324"/>
      <c r="N167" s="324"/>
      <c r="O167" s="324"/>
      <c r="P167" s="324"/>
      <c r="Q167" s="324"/>
      <c r="R167" s="40"/>
      <c r="S167" s="114"/>
      <c r="T167" s="114"/>
      <c r="U167" s="114"/>
      <c r="V167" s="114"/>
      <c r="W167" s="324"/>
      <c r="X167" s="114"/>
      <c r="Y167" s="114"/>
      <c r="Z167" s="326"/>
      <c r="AA167" s="381"/>
      <c r="AB167" s="381"/>
      <c r="AC167" s="381"/>
      <c r="AD167" s="381"/>
      <c r="AE167" s="381"/>
      <c r="AF167" s="381"/>
      <c r="AG167" s="381"/>
      <c r="AH167" s="326"/>
      <c r="AI167" s="326"/>
      <c r="AJ167" s="326"/>
      <c r="AK167" s="381"/>
      <c r="AL167" s="381"/>
      <c r="AM167" s="326"/>
      <c r="AN167" s="326"/>
      <c r="AO167" s="381"/>
      <c r="AP167" s="381"/>
      <c r="AQ167" s="381"/>
    </row>
    <row r="168" spans="1:43" ht="14.25" hidden="1" x14ac:dyDescent="0.15">
      <c r="A168" s="379"/>
      <c r="B168" s="37"/>
      <c r="C168" s="324"/>
      <c r="D168" s="324"/>
      <c r="E168" s="324"/>
      <c r="F168" s="324"/>
      <c r="G168" s="324"/>
      <c r="H168" s="380"/>
      <c r="I168" s="380"/>
      <c r="J168" s="324"/>
      <c r="K168" s="324"/>
      <c r="L168" s="324"/>
      <c r="M168" s="324"/>
      <c r="N168" s="324"/>
      <c r="O168" s="324"/>
      <c r="P168" s="324"/>
      <c r="Q168" s="324"/>
      <c r="R168" s="40"/>
      <c r="S168" s="114"/>
      <c r="T168" s="114"/>
      <c r="U168" s="114"/>
      <c r="V168" s="114"/>
      <c r="W168" s="324"/>
      <c r="X168" s="114"/>
      <c r="Y168" s="114"/>
      <c r="Z168" s="326"/>
      <c r="AA168" s="381"/>
      <c r="AB168" s="381"/>
      <c r="AC168" s="381"/>
      <c r="AD168" s="381"/>
      <c r="AE168" s="381"/>
      <c r="AF168" s="381"/>
      <c r="AG168" s="381"/>
      <c r="AH168" s="326"/>
      <c r="AI168" s="326"/>
      <c r="AJ168" s="326"/>
      <c r="AK168" s="381"/>
      <c r="AL168" s="381"/>
      <c r="AM168" s="326"/>
      <c r="AN168" s="326"/>
      <c r="AO168" s="381"/>
      <c r="AP168" s="381"/>
      <c r="AQ168" s="381"/>
    </row>
    <row r="169" spans="1:43" ht="14.25" hidden="1" x14ac:dyDescent="0.15">
      <c r="A169" s="379"/>
      <c r="B169" s="37"/>
      <c r="C169" s="324"/>
      <c r="D169" s="324"/>
      <c r="E169" s="324"/>
      <c r="F169" s="324"/>
      <c r="G169" s="324"/>
      <c r="H169" s="380"/>
      <c r="I169" s="380"/>
      <c r="J169" s="324"/>
      <c r="K169" s="324"/>
      <c r="L169" s="324"/>
      <c r="M169" s="324"/>
      <c r="N169" s="324"/>
      <c r="O169" s="324"/>
      <c r="P169" s="324"/>
      <c r="Q169" s="324"/>
      <c r="R169" s="40"/>
      <c r="S169" s="114"/>
      <c r="T169" s="114"/>
      <c r="U169" s="114"/>
      <c r="V169" s="114"/>
      <c r="W169" s="324"/>
      <c r="X169" s="114"/>
      <c r="Y169" s="114"/>
      <c r="Z169" s="326"/>
      <c r="AA169" s="381"/>
      <c r="AB169" s="381"/>
      <c r="AC169" s="381"/>
      <c r="AD169" s="381"/>
      <c r="AE169" s="381"/>
      <c r="AF169" s="381"/>
      <c r="AG169" s="381"/>
      <c r="AH169" s="326"/>
      <c r="AI169" s="326"/>
      <c r="AJ169" s="326"/>
      <c r="AK169" s="381"/>
      <c r="AL169" s="381"/>
      <c r="AM169" s="326"/>
      <c r="AN169" s="326"/>
      <c r="AO169" s="381"/>
      <c r="AP169" s="381"/>
      <c r="AQ169" s="381"/>
    </row>
    <row r="170" spans="1:43" ht="14.25" hidden="1" x14ac:dyDescent="0.15">
      <c r="A170" s="379"/>
      <c r="B170" s="37"/>
      <c r="C170" s="324"/>
      <c r="D170" s="324"/>
      <c r="E170" s="324"/>
      <c r="F170" s="324"/>
      <c r="G170" s="324"/>
      <c r="H170" s="380"/>
      <c r="I170" s="380"/>
      <c r="J170" s="324"/>
      <c r="K170" s="324"/>
      <c r="L170" s="324"/>
      <c r="M170" s="324"/>
      <c r="N170" s="324"/>
      <c r="O170" s="324"/>
      <c r="P170" s="324"/>
      <c r="Q170" s="324"/>
      <c r="R170" s="40"/>
      <c r="S170" s="114"/>
      <c r="T170" s="114"/>
      <c r="U170" s="114"/>
      <c r="V170" s="114"/>
      <c r="W170" s="324"/>
      <c r="X170" s="114"/>
      <c r="Y170" s="114"/>
      <c r="Z170" s="326"/>
      <c r="AA170" s="381"/>
      <c r="AB170" s="381"/>
      <c r="AC170" s="381"/>
      <c r="AD170" s="381"/>
      <c r="AE170" s="381"/>
      <c r="AF170" s="381"/>
      <c r="AG170" s="381"/>
      <c r="AH170" s="326"/>
      <c r="AI170" s="326"/>
      <c r="AJ170" s="326"/>
      <c r="AK170" s="381"/>
      <c r="AL170" s="381"/>
      <c r="AM170" s="326"/>
      <c r="AN170" s="326"/>
      <c r="AO170" s="381"/>
      <c r="AP170" s="381"/>
      <c r="AQ170" s="381"/>
    </row>
    <row r="171" spans="1:43" ht="14.25" hidden="1" x14ac:dyDescent="0.15">
      <c r="A171" s="379"/>
      <c r="B171" s="37"/>
      <c r="C171" s="324"/>
      <c r="D171" s="324"/>
      <c r="E171" s="324"/>
      <c r="F171" s="324"/>
      <c r="G171" s="324"/>
      <c r="H171" s="380"/>
      <c r="I171" s="380"/>
      <c r="J171" s="324"/>
      <c r="K171" s="324"/>
      <c r="L171" s="324"/>
      <c r="M171" s="324"/>
      <c r="N171" s="324"/>
      <c r="O171" s="324"/>
      <c r="P171" s="324"/>
      <c r="Q171" s="324"/>
      <c r="R171" s="40"/>
      <c r="S171" s="114"/>
      <c r="T171" s="114"/>
      <c r="U171" s="114"/>
      <c r="V171" s="114"/>
      <c r="W171" s="324"/>
      <c r="X171" s="114"/>
      <c r="Y171" s="114"/>
      <c r="Z171" s="326"/>
      <c r="AA171" s="381"/>
      <c r="AB171" s="381"/>
      <c r="AC171" s="381"/>
      <c r="AD171" s="381"/>
      <c r="AE171" s="381"/>
      <c r="AF171" s="381"/>
      <c r="AG171" s="381"/>
      <c r="AH171" s="326"/>
      <c r="AI171" s="326"/>
      <c r="AJ171" s="326"/>
      <c r="AK171" s="381"/>
      <c r="AL171" s="381"/>
      <c r="AM171" s="326"/>
      <c r="AN171" s="326"/>
      <c r="AO171" s="381"/>
      <c r="AP171" s="381"/>
      <c r="AQ171" s="381"/>
    </row>
    <row r="172" spans="1:43" ht="14.25" hidden="1" x14ac:dyDescent="0.15">
      <c r="A172" s="379"/>
      <c r="B172" s="37"/>
      <c r="C172" s="324"/>
      <c r="D172" s="324"/>
      <c r="E172" s="324"/>
      <c r="F172" s="324"/>
      <c r="G172" s="324"/>
      <c r="H172" s="380"/>
      <c r="I172" s="380"/>
      <c r="J172" s="324"/>
      <c r="K172" s="324"/>
      <c r="L172" s="324"/>
      <c r="M172" s="324"/>
      <c r="N172" s="324"/>
      <c r="O172" s="324"/>
      <c r="P172" s="324"/>
      <c r="Q172" s="324"/>
      <c r="R172" s="40"/>
      <c r="S172" s="114"/>
      <c r="T172" s="114"/>
      <c r="U172" s="114"/>
      <c r="V172" s="114"/>
      <c r="W172" s="324"/>
      <c r="X172" s="114"/>
      <c r="Y172" s="114"/>
      <c r="Z172" s="326"/>
      <c r="AA172" s="381"/>
      <c r="AB172" s="381"/>
      <c r="AC172" s="381"/>
      <c r="AD172" s="381"/>
      <c r="AE172" s="381"/>
      <c r="AF172" s="381"/>
      <c r="AG172" s="381"/>
      <c r="AH172" s="326"/>
      <c r="AI172" s="326"/>
      <c r="AJ172" s="326"/>
      <c r="AK172" s="381"/>
      <c r="AL172" s="381"/>
      <c r="AM172" s="326"/>
      <c r="AN172" s="326"/>
      <c r="AO172" s="381"/>
      <c r="AP172" s="381"/>
      <c r="AQ172" s="381"/>
    </row>
    <row r="173" spans="1:43" ht="14.25" hidden="1" x14ac:dyDescent="0.15">
      <c r="A173" s="379"/>
      <c r="B173" s="37"/>
      <c r="C173" s="324"/>
      <c r="D173" s="324"/>
      <c r="E173" s="324"/>
      <c r="F173" s="324"/>
      <c r="G173" s="324"/>
      <c r="H173" s="380"/>
      <c r="I173" s="380"/>
      <c r="J173" s="324"/>
      <c r="K173" s="324"/>
      <c r="L173" s="324"/>
      <c r="M173" s="324"/>
      <c r="N173" s="324"/>
      <c r="O173" s="324"/>
      <c r="P173" s="324"/>
      <c r="Q173" s="324"/>
      <c r="R173" s="40"/>
      <c r="S173" s="114"/>
      <c r="T173" s="114"/>
      <c r="U173" s="114"/>
      <c r="V173" s="114"/>
      <c r="W173" s="324"/>
      <c r="X173" s="114"/>
      <c r="Y173" s="114"/>
      <c r="Z173" s="326"/>
      <c r="AA173" s="381"/>
      <c r="AB173" s="381"/>
      <c r="AC173" s="381"/>
      <c r="AD173" s="381"/>
      <c r="AE173" s="381"/>
      <c r="AF173" s="381"/>
      <c r="AG173" s="381"/>
      <c r="AH173" s="326"/>
      <c r="AI173" s="326"/>
      <c r="AJ173" s="326"/>
      <c r="AK173" s="381"/>
      <c r="AL173" s="381"/>
      <c r="AM173" s="326"/>
      <c r="AN173" s="326"/>
      <c r="AO173" s="381"/>
      <c r="AP173" s="381"/>
      <c r="AQ173" s="381"/>
    </row>
    <row r="174" spans="1:43" ht="14.25" hidden="1" x14ac:dyDescent="0.15">
      <c r="A174" s="379"/>
      <c r="B174" s="37"/>
      <c r="C174" s="324"/>
      <c r="D174" s="324"/>
      <c r="E174" s="324"/>
      <c r="F174" s="324"/>
      <c r="G174" s="324"/>
      <c r="H174" s="380"/>
      <c r="I174" s="380"/>
      <c r="J174" s="324"/>
      <c r="K174" s="324"/>
      <c r="L174" s="324"/>
      <c r="M174" s="324"/>
      <c r="N174" s="324"/>
      <c r="O174" s="324"/>
      <c r="P174" s="324"/>
      <c r="Q174" s="324"/>
      <c r="R174" s="40"/>
      <c r="S174" s="114"/>
      <c r="T174" s="114"/>
      <c r="U174" s="114"/>
      <c r="V174" s="114"/>
      <c r="W174" s="324"/>
      <c r="X174" s="114"/>
      <c r="Y174" s="114"/>
      <c r="Z174" s="326"/>
      <c r="AA174" s="381"/>
      <c r="AB174" s="381"/>
      <c r="AC174" s="381"/>
      <c r="AD174" s="381"/>
      <c r="AE174" s="381"/>
      <c r="AF174" s="381"/>
      <c r="AG174" s="381"/>
      <c r="AH174" s="326"/>
      <c r="AI174" s="326"/>
      <c r="AJ174" s="326"/>
      <c r="AK174" s="381"/>
      <c r="AL174" s="381"/>
      <c r="AM174" s="326"/>
      <c r="AN174" s="326"/>
      <c r="AO174" s="381"/>
      <c r="AP174" s="381"/>
      <c r="AQ174" s="381"/>
    </row>
    <row r="175" spans="1:43" ht="14.25" hidden="1" x14ac:dyDescent="0.15">
      <c r="A175" s="379"/>
      <c r="B175" s="37"/>
      <c r="C175" s="324"/>
      <c r="D175" s="324"/>
      <c r="E175" s="324"/>
      <c r="F175" s="324"/>
      <c r="G175" s="324"/>
      <c r="H175" s="380"/>
      <c r="I175" s="380"/>
      <c r="J175" s="324"/>
      <c r="K175" s="324"/>
      <c r="L175" s="324"/>
      <c r="M175" s="324"/>
      <c r="N175" s="324"/>
      <c r="O175" s="324"/>
      <c r="P175" s="324"/>
      <c r="Q175" s="324"/>
      <c r="R175" s="40"/>
      <c r="S175" s="114"/>
      <c r="T175" s="114"/>
      <c r="U175" s="114"/>
      <c r="V175" s="114"/>
      <c r="W175" s="324"/>
      <c r="X175" s="114"/>
      <c r="Y175" s="114"/>
      <c r="Z175" s="326"/>
      <c r="AA175" s="381"/>
      <c r="AB175" s="381"/>
      <c r="AC175" s="381"/>
      <c r="AD175" s="381"/>
      <c r="AE175" s="381"/>
      <c r="AF175" s="381"/>
      <c r="AG175" s="381"/>
      <c r="AH175" s="326"/>
      <c r="AI175" s="326"/>
      <c r="AJ175" s="326"/>
      <c r="AK175" s="381"/>
      <c r="AL175" s="381"/>
      <c r="AM175" s="326"/>
      <c r="AN175" s="326"/>
      <c r="AO175" s="381"/>
      <c r="AP175" s="381"/>
      <c r="AQ175" s="381"/>
    </row>
    <row r="176" spans="1:43" ht="14.25" hidden="1" x14ac:dyDescent="0.15">
      <c r="A176" s="379"/>
      <c r="B176" s="37"/>
      <c r="C176" s="324"/>
      <c r="D176" s="324"/>
      <c r="E176" s="324"/>
      <c r="F176" s="324"/>
      <c r="G176" s="324"/>
      <c r="H176" s="380"/>
      <c r="I176" s="380"/>
      <c r="J176" s="324"/>
      <c r="K176" s="324"/>
      <c r="L176" s="324"/>
      <c r="M176" s="324"/>
      <c r="N176" s="324"/>
      <c r="O176" s="324"/>
      <c r="P176" s="324"/>
      <c r="Q176" s="324"/>
      <c r="R176" s="40"/>
      <c r="S176" s="114"/>
      <c r="T176" s="114"/>
      <c r="U176" s="114"/>
      <c r="V176" s="114"/>
      <c r="W176" s="324"/>
      <c r="X176" s="114"/>
      <c r="Y176" s="114"/>
      <c r="Z176" s="326"/>
      <c r="AA176" s="381"/>
      <c r="AB176" s="381"/>
      <c r="AC176" s="381"/>
      <c r="AD176" s="381"/>
      <c r="AE176" s="381"/>
      <c r="AF176" s="381"/>
      <c r="AG176" s="381"/>
      <c r="AH176" s="326"/>
      <c r="AI176" s="326"/>
      <c r="AJ176" s="326"/>
      <c r="AK176" s="381"/>
      <c r="AL176" s="381"/>
      <c r="AM176" s="326"/>
      <c r="AN176" s="326"/>
      <c r="AO176" s="381"/>
      <c r="AP176" s="381"/>
      <c r="AQ176" s="381"/>
    </row>
    <row r="177" spans="1:43" ht="14.25" hidden="1" x14ac:dyDescent="0.15">
      <c r="A177" s="379"/>
      <c r="B177" s="37"/>
      <c r="C177" s="324"/>
      <c r="D177" s="324"/>
      <c r="E177" s="324"/>
      <c r="F177" s="324"/>
      <c r="G177" s="324"/>
      <c r="H177" s="380"/>
      <c r="I177" s="380"/>
      <c r="J177" s="324"/>
      <c r="K177" s="324"/>
      <c r="L177" s="324"/>
      <c r="M177" s="324"/>
      <c r="N177" s="324"/>
      <c r="O177" s="324"/>
      <c r="P177" s="324"/>
      <c r="Q177" s="324"/>
      <c r="R177" s="40"/>
      <c r="S177" s="114"/>
      <c r="T177" s="114"/>
      <c r="U177" s="114"/>
      <c r="V177" s="114"/>
      <c r="W177" s="324"/>
      <c r="X177" s="114"/>
      <c r="Y177" s="114"/>
      <c r="Z177" s="326"/>
      <c r="AA177" s="381"/>
      <c r="AB177" s="381"/>
      <c r="AC177" s="381"/>
      <c r="AD177" s="381"/>
      <c r="AE177" s="381"/>
      <c r="AF177" s="381"/>
      <c r="AG177" s="381"/>
      <c r="AH177" s="326"/>
      <c r="AI177" s="326"/>
      <c r="AJ177" s="326"/>
      <c r="AK177" s="381"/>
      <c r="AL177" s="381"/>
      <c r="AM177" s="326"/>
      <c r="AN177" s="326"/>
      <c r="AO177" s="381"/>
      <c r="AP177" s="381"/>
      <c r="AQ177" s="381"/>
    </row>
    <row r="178" spans="1:43" ht="14.25" hidden="1" x14ac:dyDescent="0.15">
      <c r="A178" s="379"/>
      <c r="B178" s="37"/>
      <c r="C178" s="324"/>
      <c r="D178" s="324"/>
      <c r="E178" s="324"/>
      <c r="F178" s="324"/>
      <c r="G178" s="324"/>
      <c r="H178" s="380"/>
      <c r="I178" s="380"/>
      <c r="J178" s="324"/>
      <c r="K178" s="324"/>
      <c r="L178" s="324"/>
      <c r="M178" s="324"/>
      <c r="N178" s="324"/>
      <c r="O178" s="324"/>
      <c r="P178" s="324"/>
      <c r="Q178" s="324"/>
      <c r="R178" s="40"/>
      <c r="S178" s="114"/>
      <c r="T178" s="114"/>
      <c r="U178" s="114"/>
      <c r="V178" s="114"/>
      <c r="W178" s="324"/>
      <c r="X178" s="114"/>
      <c r="Y178" s="114"/>
      <c r="Z178" s="326"/>
      <c r="AA178" s="381"/>
      <c r="AB178" s="381"/>
      <c r="AC178" s="381"/>
      <c r="AD178" s="381"/>
      <c r="AE178" s="381"/>
      <c r="AF178" s="381"/>
      <c r="AG178" s="381"/>
      <c r="AH178" s="326"/>
      <c r="AI178" s="326"/>
      <c r="AJ178" s="326"/>
      <c r="AK178" s="381"/>
      <c r="AL178" s="381"/>
      <c r="AM178" s="326"/>
      <c r="AN178" s="326"/>
      <c r="AO178" s="381"/>
      <c r="AP178" s="381"/>
      <c r="AQ178" s="381"/>
    </row>
    <row r="179" spans="1:43" ht="14.25" hidden="1" x14ac:dyDescent="0.15">
      <c r="A179" s="379"/>
      <c r="B179" s="37"/>
      <c r="C179" s="324"/>
      <c r="D179" s="324"/>
      <c r="E179" s="324"/>
      <c r="F179" s="324"/>
      <c r="G179" s="324"/>
      <c r="H179" s="380"/>
      <c r="I179" s="380"/>
      <c r="J179" s="324"/>
      <c r="K179" s="324"/>
      <c r="L179" s="324"/>
      <c r="M179" s="324"/>
      <c r="N179" s="324"/>
      <c r="O179" s="324"/>
      <c r="P179" s="324"/>
      <c r="Q179" s="324"/>
      <c r="R179" s="40"/>
      <c r="S179" s="114"/>
      <c r="T179" s="114"/>
      <c r="U179" s="114"/>
      <c r="V179" s="114"/>
      <c r="W179" s="324"/>
      <c r="X179" s="114"/>
      <c r="Y179" s="114"/>
      <c r="Z179" s="326"/>
      <c r="AA179" s="381"/>
      <c r="AB179" s="381"/>
      <c r="AC179" s="381"/>
      <c r="AD179" s="381"/>
      <c r="AE179" s="381"/>
      <c r="AF179" s="381"/>
      <c r="AG179" s="381"/>
      <c r="AH179" s="326"/>
      <c r="AI179" s="326"/>
      <c r="AJ179" s="326"/>
      <c r="AK179" s="381"/>
      <c r="AL179" s="381"/>
      <c r="AM179" s="326"/>
      <c r="AN179" s="326"/>
      <c r="AO179" s="381"/>
      <c r="AP179" s="381"/>
      <c r="AQ179" s="381"/>
    </row>
    <row r="180" spans="1:43" ht="14.25" hidden="1" x14ac:dyDescent="0.15">
      <c r="A180" s="379"/>
      <c r="B180" s="37"/>
      <c r="C180" s="324"/>
      <c r="D180" s="324"/>
      <c r="E180" s="324"/>
      <c r="F180" s="324"/>
      <c r="G180" s="324"/>
      <c r="H180" s="380"/>
      <c r="I180" s="380"/>
      <c r="J180" s="324"/>
      <c r="K180" s="324"/>
      <c r="L180" s="324"/>
      <c r="M180" s="324"/>
      <c r="N180" s="324"/>
      <c r="O180" s="324"/>
      <c r="P180" s="324"/>
      <c r="Q180" s="324"/>
      <c r="R180" s="40"/>
      <c r="S180" s="114"/>
      <c r="T180" s="114"/>
      <c r="U180" s="114"/>
      <c r="V180" s="114"/>
      <c r="W180" s="324"/>
      <c r="X180" s="114"/>
      <c r="Y180" s="114"/>
      <c r="Z180" s="326"/>
      <c r="AA180" s="381"/>
      <c r="AB180" s="381"/>
      <c r="AC180" s="381"/>
      <c r="AD180" s="381"/>
      <c r="AE180" s="381"/>
      <c r="AF180" s="381"/>
      <c r="AG180" s="381"/>
      <c r="AH180" s="326"/>
      <c r="AI180" s="326"/>
      <c r="AJ180" s="326"/>
      <c r="AK180" s="381"/>
      <c r="AL180" s="381"/>
      <c r="AM180" s="326"/>
      <c r="AN180" s="326"/>
      <c r="AO180" s="381"/>
      <c r="AP180" s="381"/>
      <c r="AQ180" s="381"/>
    </row>
    <row r="181" spans="1:43" ht="14.25" hidden="1" x14ac:dyDescent="0.15">
      <c r="A181" s="379"/>
      <c r="B181" s="37"/>
      <c r="C181" s="324"/>
      <c r="D181" s="324"/>
      <c r="E181" s="324"/>
      <c r="F181" s="324"/>
      <c r="G181" s="324"/>
      <c r="H181" s="380"/>
      <c r="I181" s="380"/>
      <c r="J181" s="324"/>
      <c r="K181" s="324"/>
      <c r="L181" s="324"/>
      <c r="M181" s="324"/>
      <c r="N181" s="324"/>
      <c r="O181" s="324"/>
      <c r="P181" s="324"/>
      <c r="Q181" s="324"/>
      <c r="R181" s="40"/>
      <c r="S181" s="114"/>
      <c r="T181" s="114"/>
      <c r="U181" s="114"/>
      <c r="V181" s="114"/>
      <c r="W181" s="324"/>
      <c r="X181" s="114"/>
      <c r="Y181" s="114"/>
      <c r="Z181" s="326"/>
      <c r="AA181" s="381"/>
      <c r="AB181" s="381"/>
      <c r="AC181" s="381"/>
      <c r="AD181" s="381"/>
      <c r="AE181" s="381"/>
      <c r="AF181" s="381"/>
      <c r="AG181" s="381"/>
      <c r="AH181" s="326"/>
      <c r="AI181" s="326"/>
      <c r="AJ181" s="326"/>
      <c r="AK181" s="381"/>
      <c r="AL181" s="381"/>
      <c r="AM181" s="326"/>
      <c r="AN181" s="326"/>
      <c r="AO181" s="381"/>
      <c r="AP181" s="381"/>
      <c r="AQ181" s="381"/>
    </row>
    <row r="182" spans="1:43" ht="14.25" hidden="1" x14ac:dyDescent="0.15">
      <c r="A182" s="379"/>
      <c r="B182" s="37"/>
      <c r="C182" s="324"/>
      <c r="D182" s="324"/>
      <c r="E182" s="324"/>
      <c r="F182" s="324"/>
      <c r="G182" s="324"/>
      <c r="H182" s="380"/>
      <c r="I182" s="380"/>
      <c r="J182" s="324"/>
      <c r="K182" s="324"/>
      <c r="L182" s="324"/>
      <c r="M182" s="324"/>
      <c r="N182" s="324"/>
      <c r="O182" s="324"/>
      <c r="P182" s="324"/>
      <c r="Q182" s="324"/>
      <c r="R182" s="40"/>
      <c r="S182" s="114"/>
      <c r="T182" s="114"/>
      <c r="U182" s="114"/>
      <c r="V182" s="114"/>
      <c r="W182" s="324"/>
      <c r="X182" s="114"/>
      <c r="Y182" s="114"/>
      <c r="Z182" s="326"/>
      <c r="AA182" s="381"/>
      <c r="AB182" s="381"/>
      <c r="AC182" s="381"/>
      <c r="AD182" s="381"/>
      <c r="AE182" s="381"/>
      <c r="AF182" s="381"/>
      <c r="AG182" s="381"/>
      <c r="AH182" s="326"/>
      <c r="AI182" s="326"/>
      <c r="AJ182" s="326"/>
      <c r="AK182" s="381"/>
      <c r="AL182" s="381"/>
      <c r="AM182" s="326"/>
      <c r="AN182" s="326"/>
      <c r="AO182" s="381"/>
      <c r="AP182" s="381"/>
      <c r="AQ182" s="381"/>
    </row>
    <row r="183" spans="1:43" ht="14.25" hidden="1" x14ac:dyDescent="0.15">
      <c r="A183" s="379"/>
      <c r="B183" s="37"/>
      <c r="C183" s="324"/>
      <c r="D183" s="324"/>
      <c r="E183" s="324"/>
      <c r="F183" s="324"/>
      <c r="G183" s="324"/>
      <c r="H183" s="380"/>
      <c r="I183" s="380"/>
      <c r="J183" s="324"/>
      <c r="K183" s="324"/>
      <c r="L183" s="324"/>
      <c r="M183" s="324"/>
      <c r="N183" s="324"/>
      <c r="O183" s="324"/>
      <c r="P183" s="324"/>
      <c r="Q183" s="324"/>
      <c r="R183" s="40"/>
      <c r="S183" s="114"/>
      <c r="T183" s="114"/>
      <c r="U183" s="114"/>
      <c r="V183" s="114"/>
      <c r="W183" s="324"/>
      <c r="X183" s="114"/>
      <c r="Y183" s="114"/>
      <c r="Z183" s="326"/>
      <c r="AA183" s="381"/>
      <c r="AB183" s="381"/>
      <c r="AC183" s="381"/>
      <c r="AD183" s="381"/>
      <c r="AE183" s="381"/>
      <c r="AF183" s="381"/>
      <c r="AG183" s="381"/>
      <c r="AH183" s="326"/>
      <c r="AI183" s="326"/>
      <c r="AJ183" s="326"/>
      <c r="AK183" s="381"/>
      <c r="AL183" s="381"/>
      <c r="AM183" s="326"/>
      <c r="AN183" s="326"/>
      <c r="AO183" s="381"/>
      <c r="AP183" s="381"/>
      <c r="AQ183" s="381"/>
    </row>
    <row r="184" spans="1:43" ht="14.25" hidden="1" x14ac:dyDescent="0.15">
      <c r="A184" s="379"/>
      <c r="B184" s="37"/>
      <c r="C184" s="324"/>
      <c r="D184" s="324"/>
      <c r="E184" s="324"/>
      <c r="F184" s="324"/>
      <c r="G184" s="324"/>
      <c r="H184" s="380"/>
      <c r="I184" s="380"/>
      <c r="J184" s="324"/>
      <c r="K184" s="324"/>
      <c r="L184" s="324"/>
      <c r="M184" s="324"/>
      <c r="N184" s="324"/>
      <c r="O184" s="324"/>
      <c r="P184" s="324"/>
      <c r="Q184" s="324"/>
      <c r="R184" s="40"/>
      <c r="S184" s="114"/>
      <c r="T184" s="114"/>
      <c r="U184" s="114"/>
      <c r="V184" s="114"/>
      <c r="W184" s="324"/>
      <c r="X184" s="114"/>
      <c r="Y184" s="114"/>
      <c r="Z184" s="326"/>
      <c r="AA184" s="381"/>
      <c r="AB184" s="381"/>
      <c r="AC184" s="381"/>
      <c r="AD184" s="381"/>
      <c r="AE184" s="381"/>
      <c r="AF184" s="381"/>
      <c r="AG184" s="381"/>
      <c r="AH184" s="326"/>
      <c r="AI184" s="326"/>
      <c r="AJ184" s="326"/>
      <c r="AK184" s="381"/>
      <c r="AL184" s="381"/>
      <c r="AM184" s="326"/>
      <c r="AN184" s="326"/>
      <c r="AO184" s="381"/>
      <c r="AP184" s="381"/>
      <c r="AQ184" s="381"/>
    </row>
    <row r="185" spans="1:43" ht="14.25" hidden="1" x14ac:dyDescent="0.15">
      <c r="A185" s="379"/>
      <c r="B185" s="37"/>
      <c r="C185" s="324"/>
      <c r="D185" s="324"/>
      <c r="E185" s="324"/>
      <c r="F185" s="324"/>
      <c r="G185" s="324"/>
      <c r="H185" s="380"/>
      <c r="I185" s="380"/>
      <c r="J185" s="324"/>
      <c r="K185" s="324"/>
      <c r="L185" s="324"/>
      <c r="M185" s="324"/>
      <c r="N185" s="324"/>
      <c r="O185" s="324"/>
      <c r="P185" s="324"/>
      <c r="Q185" s="324"/>
      <c r="R185" s="40"/>
      <c r="S185" s="114"/>
      <c r="T185" s="114"/>
      <c r="U185" s="114"/>
      <c r="V185" s="114"/>
      <c r="W185" s="324"/>
      <c r="X185" s="114"/>
      <c r="Y185" s="114"/>
      <c r="Z185" s="326"/>
      <c r="AA185" s="381"/>
      <c r="AB185" s="381"/>
      <c r="AC185" s="381"/>
      <c r="AD185" s="381"/>
      <c r="AE185" s="381"/>
      <c r="AF185" s="381"/>
      <c r="AG185" s="381"/>
      <c r="AH185" s="326"/>
      <c r="AI185" s="326"/>
      <c r="AJ185" s="326"/>
      <c r="AK185" s="381"/>
      <c r="AL185" s="381"/>
      <c r="AM185" s="326"/>
      <c r="AN185" s="326"/>
      <c r="AO185" s="381"/>
      <c r="AP185" s="381"/>
      <c r="AQ185" s="381"/>
    </row>
    <row r="186" spans="1:43" ht="14.25" hidden="1" x14ac:dyDescent="0.15">
      <c r="A186" s="379"/>
      <c r="B186" s="37"/>
      <c r="C186" s="324"/>
      <c r="D186" s="324"/>
      <c r="E186" s="324"/>
      <c r="F186" s="324"/>
      <c r="G186" s="324"/>
      <c r="H186" s="380"/>
      <c r="I186" s="380"/>
      <c r="J186" s="324"/>
      <c r="K186" s="324"/>
      <c r="L186" s="324"/>
      <c r="M186" s="324"/>
      <c r="N186" s="324"/>
      <c r="O186" s="324"/>
      <c r="P186" s="324"/>
      <c r="Q186" s="324"/>
      <c r="R186" s="40"/>
      <c r="S186" s="114"/>
      <c r="T186" s="114"/>
      <c r="U186" s="114"/>
      <c r="V186" s="114"/>
      <c r="W186" s="324"/>
      <c r="X186" s="114"/>
      <c r="Y186" s="114"/>
      <c r="Z186" s="326"/>
      <c r="AA186" s="381"/>
      <c r="AB186" s="381"/>
      <c r="AC186" s="381"/>
      <c r="AD186" s="381"/>
      <c r="AE186" s="381"/>
      <c r="AF186" s="381"/>
      <c r="AG186" s="381"/>
      <c r="AH186" s="326"/>
      <c r="AI186" s="326"/>
      <c r="AJ186" s="326"/>
      <c r="AK186" s="381"/>
      <c r="AL186" s="381"/>
      <c r="AM186" s="326"/>
      <c r="AN186" s="326"/>
      <c r="AO186" s="381"/>
      <c r="AP186" s="381"/>
      <c r="AQ186" s="381"/>
    </row>
    <row r="187" spans="1:43" ht="14.25" hidden="1" x14ac:dyDescent="0.15">
      <c r="A187" s="379"/>
      <c r="B187" s="37"/>
      <c r="C187" s="324"/>
      <c r="D187" s="324"/>
      <c r="E187" s="324"/>
      <c r="F187" s="324"/>
      <c r="G187" s="324"/>
      <c r="H187" s="380"/>
      <c r="I187" s="380"/>
      <c r="J187" s="324"/>
      <c r="K187" s="324"/>
      <c r="L187" s="324"/>
      <c r="M187" s="324"/>
      <c r="N187" s="324"/>
      <c r="O187" s="324"/>
      <c r="P187" s="324"/>
      <c r="Q187" s="324"/>
      <c r="R187" s="40"/>
      <c r="S187" s="114"/>
      <c r="T187" s="114"/>
      <c r="U187" s="114"/>
      <c r="V187" s="114"/>
      <c r="W187" s="324"/>
      <c r="X187" s="114"/>
      <c r="Y187" s="114"/>
      <c r="Z187" s="326"/>
      <c r="AA187" s="381"/>
      <c r="AB187" s="381"/>
      <c r="AC187" s="381"/>
      <c r="AD187" s="381"/>
      <c r="AE187" s="381"/>
      <c r="AF187" s="381"/>
      <c r="AG187" s="381"/>
      <c r="AH187" s="326"/>
      <c r="AI187" s="326"/>
      <c r="AJ187" s="326"/>
      <c r="AK187" s="381"/>
      <c r="AL187" s="381"/>
      <c r="AM187" s="326"/>
      <c r="AN187" s="326"/>
      <c r="AO187" s="381"/>
      <c r="AP187" s="381"/>
      <c r="AQ187" s="381"/>
    </row>
    <row r="188" spans="1:43" ht="14.25" hidden="1" x14ac:dyDescent="0.15">
      <c r="A188" s="379"/>
      <c r="B188" s="37"/>
      <c r="C188" s="324"/>
      <c r="D188" s="324"/>
      <c r="E188" s="324"/>
      <c r="F188" s="324"/>
      <c r="G188" s="324"/>
      <c r="H188" s="380"/>
      <c r="I188" s="380"/>
      <c r="J188" s="324"/>
      <c r="K188" s="324"/>
      <c r="L188" s="324"/>
      <c r="M188" s="324"/>
      <c r="N188" s="324"/>
      <c r="O188" s="324"/>
      <c r="P188" s="324"/>
      <c r="Q188" s="324"/>
      <c r="R188" s="40"/>
      <c r="S188" s="114"/>
      <c r="T188" s="114"/>
      <c r="U188" s="114"/>
      <c r="V188" s="114"/>
      <c r="W188" s="324"/>
      <c r="X188" s="114"/>
      <c r="Y188" s="114"/>
      <c r="Z188" s="326"/>
      <c r="AA188" s="381"/>
      <c r="AB188" s="381"/>
      <c r="AC188" s="381"/>
      <c r="AD188" s="381"/>
      <c r="AE188" s="381"/>
      <c r="AF188" s="381"/>
      <c r="AG188" s="381"/>
      <c r="AH188" s="326"/>
      <c r="AI188" s="326"/>
      <c r="AJ188" s="326"/>
      <c r="AK188" s="381"/>
      <c r="AL188" s="381"/>
      <c r="AM188" s="326"/>
      <c r="AN188" s="326"/>
      <c r="AO188" s="381"/>
      <c r="AP188" s="381"/>
      <c r="AQ188" s="381"/>
    </row>
    <row r="189" spans="1:43" ht="14.25" hidden="1" x14ac:dyDescent="0.15">
      <c r="A189" s="379"/>
      <c r="B189" s="37"/>
      <c r="C189" s="324"/>
      <c r="D189" s="324"/>
      <c r="E189" s="324"/>
      <c r="F189" s="324"/>
      <c r="G189" s="324"/>
      <c r="H189" s="380"/>
      <c r="I189" s="380"/>
      <c r="J189" s="324"/>
      <c r="K189" s="324"/>
      <c r="L189" s="324"/>
      <c r="M189" s="324"/>
      <c r="N189" s="324"/>
      <c r="O189" s="324"/>
      <c r="P189" s="324"/>
      <c r="Q189" s="324"/>
      <c r="R189" s="40"/>
      <c r="S189" s="114"/>
      <c r="T189" s="114"/>
      <c r="U189" s="114"/>
      <c r="V189" s="114"/>
      <c r="W189" s="324"/>
      <c r="X189" s="114"/>
      <c r="Y189" s="114"/>
      <c r="Z189" s="326"/>
      <c r="AA189" s="381"/>
      <c r="AB189" s="381"/>
      <c r="AC189" s="381"/>
      <c r="AD189" s="381"/>
      <c r="AE189" s="381"/>
      <c r="AF189" s="381"/>
      <c r="AG189" s="381"/>
      <c r="AH189" s="326"/>
      <c r="AI189" s="326"/>
      <c r="AJ189" s="326"/>
      <c r="AK189" s="381"/>
      <c r="AL189" s="381"/>
      <c r="AM189" s="326"/>
      <c r="AN189" s="326"/>
      <c r="AO189" s="381"/>
      <c r="AP189" s="381"/>
      <c r="AQ189" s="381"/>
    </row>
    <row r="190" spans="1:43" ht="14.25" hidden="1" x14ac:dyDescent="0.15">
      <c r="A190" s="379"/>
      <c r="B190" s="37"/>
      <c r="C190" s="324"/>
      <c r="D190" s="324"/>
      <c r="E190" s="324"/>
      <c r="F190" s="324"/>
      <c r="G190" s="324"/>
      <c r="H190" s="380"/>
      <c r="I190" s="380"/>
      <c r="J190" s="324"/>
      <c r="K190" s="324"/>
      <c r="L190" s="324"/>
      <c r="M190" s="324"/>
      <c r="N190" s="324"/>
      <c r="O190" s="324"/>
      <c r="P190" s="324"/>
      <c r="Q190" s="324"/>
      <c r="R190" s="40"/>
      <c r="S190" s="114"/>
      <c r="T190" s="114"/>
      <c r="U190" s="114"/>
      <c r="V190" s="114"/>
      <c r="W190" s="324"/>
      <c r="X190" s="114"/>
      <c r="Y190" s="114"/>
      <c r="Z190" s="326"/>
      <c r="AA190" s="381"/>
      <c r="AB190" s="381"/>
      <c r="AC190" s="381"/>
      <c r="AD190" s="381"/>
      <c r="AE190" s="381"/>
      <c r="AF190" s="381"/>
      <c r="AG190" s="381"/>
      <c r="AH190" s="326"/>
      <c r="AI190" s="326"/>
      <c r="AJ190" s="326"/>
      <c r="AK190" s="381"/>
      <c r="AL190" s="381"/>
      <c r="AM190" s="326"/>
      <c r="AN190" s="326"/>
      <c r="AO190" s="381"/>
      <c r="AP190" s="381"/>
      <c r="AQ190" s="381"/>
    </row>
    <row r="191" spans="1:43" ht="14.25" hidden="1" x14ac:dyDescent="0.15">
      <c r="A191" s="379"/>
      <c r="B191" s="37"/>
      <c r="C191" s="324"/>
      <c r="D191" s="324"/>
      <c r="E191" s="324"/>
      <c r="F191" s="324"/>
      <c r="G191" s="324"/>
      <c r="H191" s="380"/>
      <c r="I191" s="380"/>
      <c r="J191" s="324"/>
      <c r="K191" s="324"/>
      <c r="L191" s="324"/>
      <c r="M191" s="324"/>
      <c r="N191" s="324"/>
      <c r="O191" s="324"/>
      <c r="P191" s="324"/>
      <c r="Q191" s="324"/>
      <c r="R191" s="40"/>
      <c r="S191" s="114"/>
      <c r="T191" s="114"/>
      <c r="U191" s="114"/>
      <c r="V191" s="114"/>
      <c r="W191" s="324"/>
      <c r="X191" s="114"/>
      <c r="Y191" s="114"/>
      <c r="Z191" s="326"/>
      <c r="AA191" s="381"/>
      <c r="AB191" s="381"/>
      <c r="AC191" s="381"/>
      <c r="AD191" s="381"/>
      <c r="AE191" s="381"/>
      <c r="AF191" s="381"/>
      <c r="AG191" s="381"/>
      <c r="AH191" s="326"/>
      <c r="AI191" s="326"/>
      <c r="AJ191" s="326"/>
      <c r="AK191" s="381"/>
      <c r="AL191" s="381"/>
      <c r="AM191" s="326"/>
      <c r="AN191" s="326"/>
      <c r="AO191" s="381"/>
      <c r="AP191" s="381"/>
      <c r="AQ191" s="381"/>
    </row>
    <row r="192" spans="1:43" ht="14.25" hidden="1" x14ac:dyDescent="0.15">
      <c r="A192" s="379"/>
      <c r="B192" s="37"/>
      <c r="C192" s="324"/>
      <c r="D192" s="324"/>
      <c r="E192" s="324"/>
      <c r="F192" s="324"/>
      <c r="G192" s="324"/>
      <c r="H192" s="380"/>
      <c r="I192" s="380"/>
      <c r="J192" s="324"/>
      <c r="K192" s="324"/>
      <c r="L192" s="324"/>
      <c r="M192" s="324"/>
      <c r="N192" s="324"/>
      <c r="O192" s="324"/>
      <c r="P192" s="324"/>
      <c r="Q192" s="324"/>
      <c r="R192" s="40"/>
      <c r="S192" s="114"/>
      <c r="T192" s="114"/>
      <c r="U192" s="114"/>
      <c r="V192" s="114"/>
      <c r="W192" s="324"/>
      <c r="X192" s="114"/>
      <c r="Y192" s="114"/>
      <c r="Z192" s="326"/>
      <c r="AA192" s="381"/>
      <c r="AB192" s="381"/>
      <c r="AC192" s="381"/>
      <c r="AD192" s="381"/>
      <c r="AE192" s="381"/>
      <c r="AF192" s="381"/>
      <c r="AG192" s="381"/>
      <c r="AH192" s="326"/>
      <c r="AI192" s="326"/>
      <c r="AJ192" s="326"/>
      <c r="AK192" s="381"/>
      <c r="AL192" s="381"/>
      <c r="AM192" s="326"/>
      <c r="AN192" s="326"/>
      <c r="AO192" s="381"/>
      <c r="AP192" s="381"/>
      <c r="AQ192" s="381"/>
    </row>
    <row r="193" spans="1:43" ht="14.25" hidden="1" x14ac:dyDescent="0.15">
      <c r="A193" s="379"/>
      <c r="B193" s="37"/>
      <c r="C193" s="324"/>
      <c r="D193" s="324"/>
      <c r="E193" s="324"/>
      <c r="F193" s="324"/>
      <c r="G193" s="324"/>
      <c r="H193" s="380"/>
      <c r="I193" s="380"/>
      <c r="J193" s="324"/>
      <c r="K193" s="324"/>
      <c r="L193" s="324"/>
      <c r="M193" s="324"/>
      <c r="N193" s="324"/>
      <c r="O193" s="324"/>
      <c r="P193" s="324"/>
      <c r="Q193" s="324"/>
      <c r="R193" s="40"/>
      <c r="S193" s="114"/>
      <c r="T193" s="114"/>
      <c r="U193" s="114"/>
      <c r="V193" s="114"/>
      <c r="W193" s="324"/>
      <c r="X193" s="114"/>
      <c r="Y193" s="114"/>
      <c r="Z193" s="326"/>
      <c r="AA193" s="381"/>
      <c r="AB193" s="381"/>
      <c r="AC193" s="381"/>
      <c r="AD193" s="381"/>
      <c r="AE193" s="381"/>
      <c r="AF193" s="381"/>
      <c r="AG193" s="381"/>
      <c r="AH193" s="326"/>
      <c r="AI193" s="326"/>
      <c r="AJ193" s="326"/>
      <c r="AK193" s="381"/>
      <c r="AL193" s="381"/>
      <c r="AM193" s="326"/>
      <c r="AN193" s="326"/>
      <c r="AO193" s="381"/>
      <c r="AP193" s="381"/>
      <c r="AQ193" s="381"/>
    </row>
    <row r="194" spans="1:43" ht="14.25" hidden="1" x14ac:dyDescent="0.15">
      <c r="A194" s="379"/>
      <c r="B194" s="37"/>
      <c r="C194" s="324"/>
      <c r="D194" s="324"/>
      <c r="E194" s="324"/>
      <c r="F194" s="324"/>
      <c r="G194" s="324"/>
      <c r="H194" s="380"/>
      <c r="I194" s="380"/>
      <c r="J194" s="324"/>
      <c r="K194" s="324"/>
      <c r="L194" s="324"/>
      <c r="M194" s="324"/>
      <c r="N194" s="324"/>
      <c r="O194" s="324"/>
      <c r="P194" s="324"/>
      <c r="Q194" s="324"/>
      <c r="R194" s="40"/>
      <c r="S194" s="114"/>
      <c r="T194" s="114"/>
      <c r="U194" s="114"/>
      <c r="V194" s="114"/>
      <c r="W194" s="324"/>
      <c r="X194" s="114"/>
      <c r="Y194" s="114"/>
      <c r="Z194" s="326"/>
      <c r="AA194" s="381"/>
      <c r="AB194" s="381"/>
      <c r="AC194" s="381"/>
      <c r="AD194" s="381"/>
      <c r="AE194" s="381"/>
      <c r="AF194" s="381"/>
      <c r="AG194" s="381"/>
      <c r="AH194" s="326"/>
      <c r="AI194" s="326"/>
      <c r="AJ194" s="326"/>
      <c r="AK194" s="381"/>
      <c r="AL194" s="381"/>
      <c r="AM194" s="326"/>
      <c r="AN194" s="326"/>
      <c r="AO194" s="381"/>
      <c r="AP194" s="381"/>
      <c r="AQ194" s="381"/>
    </row>
    <row r="195" spans="1:43" ht="14.25" hidden="1" x14ac:dyDescent="0.15">
      <c r="A195" s="379"/>
      <c r="B195" s="37"/>
      <c r="C195" s="324"/>
      <c r="D195" s="324"/>
      <c r="E195" s="324"/>
      <c r="F195" s="324"/>
      <c r="G195" s="324"/>
      <c r="H195" s="380"/>
      <c r="I195" s="380"/>
      <c r="J195" s="324"/>
      <c r="K195" s="324"/>
      <c r="L195" s="324"/>
      <c r="M195" s="324"/>
      <c r="N195" s="324"/>
      <c r="O195" s="324"/>
      <c r="P195" s="324"/>
      <c r="Q195" s="324"/>
      <c r="R195" s="40"/>
      <c r="S195" s="114"/>
      <c r="T195" s="114"/>
      <c r="U195" s="114"/>
      <c r="V195" s="114"/>
      <c r="W195" s="324"/>
      <c r="X195" s="114"/>
      <c r="Y195" s="114"/>
      <c r="Z195" s="326"/>
      <c r="AA195" s="381"/>
      <c r="AB195" s="381"/>
      <c r="AC195" s="381"/>
      <c r="AD195" s="381"/>
      <c r="AE195" s="381"/>
      <c r="AF195" s="381"/>
      <c r="AG195" s="381"/>
      <c r="AH195" s="326"/>
      <c r="AI195" s="326"/>
      <c r="AJ195" s="326"/>
      <c r="AK195" s="381"/>
      <c r="AL195" s="381"/>
      <c r="AM195" s="326"/>
      <c r="AN195" s="326"/>
      <c r="AO195" s="381"/>
      <c r="AP195" s="381"/>
      <c r="AQ195" s="381"/>
    </row>
    <row r="196" spans="1:43" ht="14.25" hidden="1" x14ac:dyDescent="0.15">
      <c r="A196" s="379"/>
      <c r="B196" s="37"/>
      <c r="C196" s="324"/>
      <c r="D196" s="324"/>
      <c r="E196" s="324"/>
      <c r="F196" s="324"/>
      <c r="G196" s="324"/>
      <c r="H196" s="380"/>
      <c r="I196" s="380"/>
      <c r="J196" s="324"/>
      <c r="K196" s="324"/>
      <c r="L196" s="324"/>
      <c r="M196" s="324"/>
      <c r="N196" s="324"/>
      <c r="O196" s="324"/>
      <c r="P196" s="324"/>
      <c r="Q196" s="324"/>
      <c r="R196" s="40"/>
      <c r="S196" s="114"/>
      <c r="T196" s="114"/>
      <c r="U196" s="114"/>
      <c r="V196" s="114"/>
      <c r="W196" s="324"/>
      <c r="X196" s="114"/>
      <c r="Y196" s="114"/>
      <c r="Z196" s="326"/>
      <c r="AA196" s="381"/>
      <c r="AB196" s="381"/>
      <c r="AC196" s="381"/>
      <c r="AD196" s="381"/>
      <c r="AE196" s="381"/>
      <c r="AF196" s="381"/>
      <c r="AG196" s="381"/>
      <c r="AH196" s="326"/>
      <c r="AI196" s="326"/>
      <c r="AJ196" s="326"/>
      <c r="AK196" s="381"/>
      <c r="AL196" s="381"/>
      <c r="AM196" s="326"/>
      <c r="AN196" s="326"/>
      <c r="AO196" s="381"/>
      <c r="AP196" s="381"/>
      <c r="AQ196" s="381"/>
    </row>
    <row r="197" spans="1:43" ht="14.25" hidden="1" x14ac:dyDescent="0.15">
      <c r="A197" s="379"/>
      <c r="B197" s="37"/>
      <c r="C197" s="324"/>
      <c r="D197" s="324"/>
      <c r="E197" s="324"/>
      <c r="F197" s="324"/>
      <c r="G197" s="324"/>
      <c r="H197" s="380"/>
      <c r="I197" s="380"/>
      <c r="J197" s="324"/>
      <c r="K197" s="324"/>
      <c r="L197" s="324"/>
      <c r="M197" s="324"/>
      <c r="N197" s="324"/>
      <c r="O197" s="324"/>
      <c r="P197" s="324"/>
      <c r="Q197" s="324"/>
      <c r="R197" s="40"/>
      <c r="S197" s="114"/>
      <c r="T197" s="114"/>
      <c r="U197" s="114"/>
      <c r="V197" s="114"/>
      <c r="W197" s="324"/>
      <c r="X197" s="114"/>
      <c r="Y197" s="114"/>
      <c r="Z197" s="326"/>
      <c r="AA197" s="381"/>
      <c r="AB197" s="381"/>
      <c r="AC197" s="381"/>
      <c r="AD197" s="381"/>
      <c r="AE197" s="381"/>
      <c r="AF197" s="381"/>
      <c r="AG197" s="381"/>
      <c r="AH197" s="326"/>
      <c r="AI197" s="326"/>
      <c r="AJ197" s="326"/>
      <c r="AK197" s="381"/>
      <c r="AL197" s="381"/>
      <c r="AM197" s="326"/>
      <c r="AN197" s="326"/>
      <c r="AO197" s="381"/>
      <c r="AP197" s="381"/>
      <c r="AQ197" s="381"/>
    </row>
    <row r="198" spans="1:43" ht="14.25" hidden="1" x14ac:dyDescent="0.15">
      <c r="A198" s="379"/>
      <c r="B198" s="37"/>
      <c r="C198" s="324"/>
      <c r="D198" s="324"/>
      <c r="E198" s="324"/>
      <c r="F198" s="324"/>
      <c r="G198" s="324"/>
      <c r="H198" s="380"/>
      <c r="I198" s="380"/>
      <c r="J198" s="324"/>
      <c r="K198" s="324"/>
      <c r="L198" s="324"/>
      <c r="M198" s="324"/>
      <c r="N198" s="324"/>
      <c r="O198" s="324"/>
      <c r="P198" s="324"/>
      <c r="Q198" s="324"/>
      <c r="R198" s="40"/>
      <c r="S198" s="114"/>
      <c r="T198" s="114"/>
      <c r="U198" s="114"/>
      <c r="V198" s="114"/>
      <c r="W198" s="324"/>
      <c r="X198" s="114"/>
      <c r="Y198" s="114"/>
      <c r="Z198" s="326"/>
      <c r="AA198" s="381"/>
      <c r="AB198" s="381"/>
      <c r="AC198" s="381"/>
      <c r="AD198" s="381"/>
      <c r="AE198" s="381"/>
      <c r="AF198" s="381"/>
      <c r="AG198" s="381"/>
      <c r="AH198" s="326"/>
      <c r="AI198" s="326"/>
      <c r="AJ198" s="326"/>
      <c r="AK198" s="381"/>
      <c r="AL198" s="381"/>
      <c r="AM198" s="326"/>
      <c r="AN198" s="326"/>
      <c r="AO198" s="381"/>
      <c r="AP198" s="381"/>
      <c r="AQ198" s="381"/>
    </row>
    <row r="199" spans="1:43" ht="14.25" hidden="1" x14ac:dyDescent="0.15">
      <c r="A199" s="379"/>
      <c r="B199" s="37"/>
      <c r="C199" s="324"/>
      <c r="D199" s="324"/>
      <c r="E199" s="324"/>
      <c r="F199" s="324"/>
      <c r="G199" s="324"/>
      <c r="H199" s="380"/>
      <c r="I199" s="380"/>
      <c r="J199" s="324"/>
      <c r="K199" s="324"/>
      <c r="L199" s="324"/>
      <c r="M199" s="324"/>
      <c r="N199" s="324"/>
      <c r="O199" s="324"/>
      <c r="P199" s="324"/>
      <c r="Q199" s="324"/>
      <c r="R199" s="40"/>
      <c r="S199" s="114"/>
      <c r="T199" s="114"/>
      <c r="U199" s="114"/>
      <c r="V199" s="114"/>
      <c r="W199" s="324"/>
      <c r="X199" s="114"/>
      <c r="Y199" s="114"/>
      <c r="Z199" s="326"/>
      <c r="AA199" s="381"/>
      <c r="AB199" s="381"/>
      <c r="AC199" s="381"/>
      <c r="AD199" s="381"/>
      <c r="AE199" s="381"/>
      <c r="AF199" s="381"/>
      <c r="AG199" s="381"/>
      <c r="AH199" s="326"/>
      <c r="AI199" s="326"/>
      <c r="AJ199" s="326"/>
      <c r="AK199" s="381"/>
      <c r="AL199" s="381"/>
      <c r="AM199" s="326"/>
      <c r="AN199" s="326"/>
      <c r="AO199" s="381"/>
      <c r="AP199" s="381"/>
      <c r="AQ199" s="381"/>
    </row>
    <row r="200" spans="1:43" ht="14.25" hidden="1" x14ac:dyDescent="0.15">
      <c r="A200" s="379"/>
      <c r="B200" s="37"/>
      <c r="C200" s="324"/>
      <c r="D200" s="324"/>
      <c r="E200" s="324"/>
      <c r="F200" s="324"/>
      <c r="G200" s="324"/>
      <c r="H200" s="380"/>
      <c r="I200" s="380"/>
      <c r="J200" s="324"/>
      <c r="K200" s="324"/>
      <c r="L200" s="324"/>
      <c r="M200" s="324"/>
      <c r="N200" s="324"/>
      <c r="O200" s="324"/>
      <c r="P200" s="324"/>
      <c r="Q200" s="324"/>
      <c r="R200" s="40"/>
      <c r="S200" s="114"/>
      <c r="T200" s="114"/>
      <c r="U200" s="114"/>
      <c r="V200" s="114"/>
      <c r="W200" s="324"/>
      <c r="X200" s="114"/>
      <c r="Y200" s="114"/>
      <c r="Z200" s="326"/>
      <c r="AA200" s="381"/>
      <c r="AB200" s="381"/>
      <c r="AC200" s="381"/>
      <c r="AD200" s="381"/>
      <c r="AE200" s="381"/>
      <c r="AF200" s="381"/>
      <c r="AG200" s="381"/>
      <c r="AH200" s="326"/>
      <c r="AI200" s="326"/>
      <c r="AJ200" s="326"/>
      <c r="AK200" s="381"/>
      <c r="AL200" s="381"/>
      <c r="AM200" s="326"/>
      <c r="AN200" s="326"/>
      <c r="AO200" s="381"/>
      <c r="AP200" s="381"/>
      <c r="AQ200" s="381"/>
    </row>
    <row r="201" spans="1:43" ht="14.25" hidden="1" x14ac:dyDescent="0.15">
      <c r="A201" s="379"/>
      <c r="B201" s="37"/>
      <c r="C201" s="324"/>
      <c r="D201" s="324"/>
      <c r="E201" s="324"/>
      <c r="F201" s="324"/>
      <c r="G201" s="324"/>
      <c r="H201" s="380"/>
      <c r="I201" s="380"/>
      <c r="J201" s="324"/>
      <c r="K201" s="324"/>
      <c r="L201" s="324"/>
      <c r="M201" s="324"/>
      <c r="N201" s="324"/>
      <c r="O201" s="324"/>
      <c r="P201" s="324"/>
      <c r="Q201" s="324"/>
      <c r="R201" s="40"/>
      <c r="S201" s="114"/>
      <c r="T201" s="114"/>
      <c r="U201" s="114"/>
      <c r="V201" s="114"/>
      <c r="W201" s="324"/>
      <c r="X201" s="114"/>
      <c r="Y201" s="114"/>
      <c r="Z201" s="326"/>
      <c r="AA201" s="381"/>
      <c r="AB201" s="381"/>
      <c r="AC201" s="381"/>
      <c r="AD201" s="381"/>
      <c r="AE201" s="381"/>
      <c r="AF201" s="381"/>
      <c r="AG201" s="381"/>
      <c r="AH201" s="326"/>
      <c r="AI201" s="326"/>
      <c r="AJ201" s="326"/>
      <c r="AK201" s="381"/>
      <c r="AL201" s="381"/>
      <c r="AM201" s="326"/>
      <c r="AN201" s="326"/>
      <c r="AO201" s="381"/>
      <c r="AP201" s="381"/>
      <c r="AQ201" s="381"/>
    </row>
    <row r="202" spans="1:43" ht="14.25" hidden="1" x14ac:dyDescent="0.15">
      <c r="A202" s="379"/>
      <c r="B202" s="37"/>
      <c r="C202" s="324"/>
      <c r="D202" s="324"/>
      <c r="E202" s="324"/>
      <c r="F202" s="324"/>
      <c r="G202" s="324"/>
      <c r="H202" s="380"/>
      <c r="I202" s="380"/>
      <c r="J202" s="324"/>
      <c r="K202" s="324"/>
      <c r="L202" s="324"/>
      <c r="M202" s="324"/>
      <c r="N202" s="324"/>
      <c r="O202" s="324"/>
      <c r="P202" s="324"/>
      <c r="Q202" s="324"/>
      <c r="R202" s="40"/>
      <c r="S202" s="114"/>
      <c r="T202" s="114"/>
      <c r="U202" s="114"/>
      <c r="V202" s="114"/>
      <c r="W202" s="324"/>
      <c r="X202" s="114"/>
      <c r="Y202" s="114"/>
      <c r="Z202" s="326"/>
      <c r="AA202" s="381"/>
      <c r="AB202" s="381"/>
      <c r="AC202" s="381"/>
      <c r="AD202" s="381"/>
      <c r="AE202" s="381"/>
      <c r="AF202" s="381"/>
      <c r="AG202" s="381"/>
      <c r="AH202" s="326"/>
      <c r="AI202" s="326"/>
      <c r="AJ202" s="326"/>
      <c r="AK202" s="381"/>
      <c r="AL202" s="381"/>
      <c r="AM202" s="326"/>
      <c r="AN202" s="326"/>
      <c r="AO202" s="381"/>
      <c r="AP202" s="381"/>
      <c r="AQ202" s="381"/>
    </row>
    <row r="203" spans="1:43" ht="14.25" hidden="1" x14ac:dyDescent="0.15">
      <c r="A203" s="379"/>
      <c r="B203" s="37"/>
      <c r="C203" s="324"/>
      <c r="D203" s="324"/>
      <c r="E203" s="324"/>
      <c r="F203" s="324"/>
      <c r="G203" s="324"/>
      <c r="H203" s="380"/>
      <c r="I203" s="380"/>
      <c r="J203" s="324"/>
      <c r="K203" s="324"/>
      <c r="L203" s="324"/>
      <c r="M203" s="324"/>
      <c r="N203" s="324"/>
      <c r="O203" s="324"/>
      <c r="P203" s="324"/>
      <c r="Q203" s="324"/>
      <c r="R203" s="40"/>
      <c r="S203" s="114"/>
      <c r="T203" s="114"/>
      <c r="U203" s="114"/>
      <c r="V203" s="114"/>
      <c r="W203" s="324"/>
      <c r="X203" s="114"/>
      <c r="Y203" s="114"/>
      <c r="Z203" s="326"/>
      <c r="AA203" s="381"/>
      <c r="AB203" s="381"/>
      <c r="AC203" s="381"/>
      <c r="AD203" s="381"/>
      <c r="AE203" s="381"/>
      <c r="AF203" s="381"/>
      <c r="AG203" s="381"/>
      <c r="AH203" s="326"/>
      <c r="AI203" s="326"/>
      <c r="AJ203" s="326"/>
      <c r="AK203" s="381"/>
      <c r="AL203" s="381"/>
      <c r="AM203" s="326"/>
      <c r="AN203" s="326"/>
      <c r="AO203" s="381"/>
      <c r="AP203" s="381"/>
      <c r="AQ203" s="381"/>
    </row>
    <row r="204" spans="1:43" ht="14.25" hidden="1" x14ac:dyDescent="0.15">
      <c r="A204" s="379"/>
      <c r="B204" s="37"/>
      <c r="C204" s="324"/>
      <c r="D204" s="324"/>
      <c r="E204" s="324"/>
      <c r="F204" s="324"/>
      <c r="G204" s="324"/>
      <c r="H204" s="380"/>
      <c r="I204" s="380"/>
      <c r="J204" s="324"/>
      <c r="K204" s="324"/>
      <c r="L204" s="324"/>
      <c r="M204" s="324"/>
      <c r="N204" s="324"/>
      <c r="O204" s="324"/>
      <c r="P204" s="324"/>
      <c r="Q204" s="324"/>
      <c r="R204" s="40"/>
      <c r="S204" s="114"/>
      <c r="T204" s="114"/>
      <c r="U204" s="114"/>
      <c r="V204" s="114"/>
      <c r="W204" s="324"/>
      <c r="X204" s="114"/>
      <c r="Y204" s="114"/>
      <c r="Z204" s="326"/>
      <c r="AA204" s="381"/>
      <c r="AB204" s="381"/>
      <c r="AC204" s="381"/>
      <c r="AD204" s="381"/>
      <c r="AE204" s="381"/>
      <c r="AF204" s="381"/>
      <c r="AG204" s="381"/>
      <c r="AH204" s="326"/>
      <c r="AI204" s="326"/>
      <c r="AJ204" s="326"/>
      <c r="AK204" s="381"/>
      <c r="AL204" s="381"/>
      <c r="AM204" s="326"/>
      <c r="AN204" s="326"/>
      <c r="AO204" s="381"/>
      <c r="AP204" s="381"/>
      <c r="AQ204" s="381"/>
    </row>
    <row r="205" spans="1:43" ht="14.25" hidden="1" x14ac:dyDescent="0.15">
      <c r="A205" s="379"/>
      <c r="B205" s="37"/>
      <c r="C205" s="324"/>
      <c r="D205" s="324"/>
      <c r="E205" s="324"/>
      <c r="F205" s="324"/>
      <c r="G205" s="324"/>
      <c r="H205" s="380"/>
      <c r="I205" s="380"/>
      <c r="J205" s="324"/>
      <c r="K205" s="324"/>
      <c r="L205" s="324"/>
      <c r="M205" s="324"/>
      <c r="N205" s="324"/>
      <c r="O205" s="324"/>
      <c r="P205" s="324"/>
      <c r="Q205" s="324"/>
      <c r="R205" s="40"/>
      <c r="S205" s="114"/>
      <c r="T205" s="114"/>
      <c r="U205" s="114"/>
      <c r="V205" s="114"/>
      <c r="W205" s="324"/>
      <c r="X205" s="114"/>
      <c r="Y205" s="114"/>
      <c r="Z205" s="326"/>
      <c r="AA205" s="381"/>
      <c r="AB205" s="381"/>
      <c r="AC205" s="381"/>
      <c r="AD205" s="381"/>
      <c r="AE205" s="381"/>
      <c r="AF205" s="381"/>
      <c r="AG205" s="381"/>
      <c r="AH205" s="326"/>
      <c r="AI205" s="326"/>
      <c r="AJ205" s="326"/>
      <c r="AK205" s="381"/>
      <c r="AL205" s="381"/>
      <c r="AM205" s="326"/>
      <c r="AN205" s="326"/>
      <c r="AO205" s="381"/>
      <c r="AP205" s="381"/>
      <c r="AQ205" s="381"/>
    </row>
    <row r="206" spans="1:43" ht="14.25" hidden="1" x14ac:dyDescent="0.15">
      <c r="A206" s="379"/>
      <c r="B206" s="37"/>
      <c r="C206" s="324"/>
      <c r="D206" s="324"/>
      <c r="E206" s="324"/>
      <c r="F206" s="324"/>
      <c r="G206" s="324"/>
      <c r="H206" s="380"/>
      <c r="I206" s="380"/>
      <c r="J206" s="324"/>
      <c r="K206" s="324"/>
      <c r="L206" s="324"/>
      <c r="M206" s="324"/>
      <c r="N206" s="324"/>
      <c r="O206" s="324"/>
      <c r="P206" s="324"/>
      <c r="Q206" s="324"/>
      <c r="R206" s="40"/>
      <c r="S206" s="114"/>
      <c r="T206" s="114"/>
      <c r="U206" s="114"/>
      <c r="V206" s="114"/>
      <c r="W206" s="324"/>
      <c r="X206" s="114"/>
      <c r="Y206" s="114"/>
      <c r="Z206" s="326"/>
      <c r="AA206" s="381"/>
      <c r="AB206" s="381"/>
      <c r="AC206" s="381"/>
      <c r="AD206" s="381"/>
      <c r="AE206" s="381"/>
      <c r="AF206" s="381"/>
      <c r="AG206" s="381"/>
      <c r="AH206" s="326"/>
      <c r="AI206" s="326"/>
      <c r="AJ206" s="326"/>
      <c r="AK206" s="381"/>
      <c r="AL206" s="381"/>
      <c r="AM206" s="326"/>
      <c r="AN206" s="326"/>
      <c r="AO206" s="381"/>
      <c r="AP206" s="381"/>
      <c r="AQ206" s="381"/>
    </row>
    <row r="207" spans="1:43" ht="14.25" hidden="1" x14ac:dyDescent="0.15">
      <c r="A207" s="379"/>
      <c r="B207" s="37"/>
      <c r="C207" s="324"/>
      <c r="D207" s="324"/>
      <c r="E207" s="324"/>
      <c r="F207" s="324"/>
      <c r="G207" s="324"/>
      <c r="H207" s="380"/>
      <c r="I207" s="380"/>
      <c r="J207" s="324"/>
      <c r="K207" s="324"/>
      <c r="L207" s="324"/>
      <c r="M207" s="324"/>
      <c r="N207" s="324"/>
      <c r="O207" s="324"/>
      <c r="P207" s="324"/>
      <c r="Q207" s="324"/>
      <c r="R207" s="40"/>
      <c r="S207" s="114"/>
      <c r="T207" s="114"/>
      <c r="U207" s="114"/>
      <c r="V207" s="114"/>
      <c r="W207" s="324"/>
      <c r="X207" s="114"/>
      <c r="Y207" s="114"/>
      <c r="Z207" s="326"/>
      <c r="AA207" s="381"/>
      <c r="AB207" s="381"/>
      <c r="AC207" s="381"/>
      <c r="AD207" s="381"/>
      <c r="AE207" s="381"/>
      <c r="AF207" s="381"/>
      <c r="AG207" s="381"/>
      <c r="AH207" s="326"/>
      <c r="AI207" s="326"/>
      <c r="AJ207" s="326"/>
      <c r="AK207" s="381"/>
      <c r="AL207" s="381"/>
      <c r="AM207" s="326"/>
      <c r="AN207" s="326"/>
      <c r="AO207" s="381"/>
      <c r="AP207" s="381"/>
      <c r="AQ207" s="381"/>
    </row>
    <row r="208" spans="1:43" ht="14.25" hidden="1" x14ac:dyDescent="0.15">
      <c r="A208" s="379"/>
      <c r="B208" s="37"/>
      <c r="C208" s="324"/>
      <c r="D208" s="324"/>
      <c r="E208" s="324"/>
      <c r="F208" s="324"/>
      <c r="G208" s="324"/>
      <c r="H208" s="380"/>
      <c r="I208" s="380"/>
      <c r="J208" s="324"/>
      <c r="K208" s="324"/>
      <c r="L208" s="324"/>
      <c r="M208" s="324"/>
      <c r="N208" s="324"/>
      <c r="O208" s="324"/>
      <c r="P208" s="324"/>
      <c r="Q208" s="324"/>
      <c r="R208" s="40"/>
      <c r="S208" s="114"/>
      <c r="T208" s="114"/>
      <c r="U208" s="114"/>
      <c r="V208" s="114"/>
      <c r="W208" s="324"/>
      <c r="X208" s="114"/>
      <c r="Y208" s="114"/>
      <c r="Z208" s="326"/>
      <c r="AA208" s="381"/>
      <c r="AB208" s="381"/>
      <c r="AC208" s="381"/>
      <c r="AD208" s="381"/>
      <c r="AE208" s="381"/>
      <c r="AF208" s="381"/>
      <c r="AG208" s="381"/>
      <c r="AH208" s="326"/>
      <c r="AI208" s="326"/>
      <c r="AJ208" s="326"/>
      <c r="AK208" s="381"/>
      <c r="AL208" s="381"/>
      <c r="AM208" s="326"/>
      <c r="AN208" s="326"/>
      <c r="AO208" s="381"/>
      <c r="AP208" s="381"/>
      <c r="AQ208" s="381"/>
    </row>
    <row r="209" spans="1:43" ht="14.25" hidden="1" x14ac:dyDescent="0.15">
      <c r="A209" s="379"/>
      <c r="B209" s="37"/>
      <c r="C209" s="324"/>
      <c r="D209" s="324"/>
      <c r="E209" s="324"/>
      <c r="F209" s="324"/>
      <c r="G209" s="324"/>
      <c r="H209" s="380"/>
      <c r="I209" s="380"/>
      <c r="J209" s="324"/>
      <c r="K209" s="324"/>
      <c r="L209" s="324"/>
      <c r="M209" s="324"/>
      <c r="N209" s="324"/>
      <c r="O209" s="324"/>
      <c r="P209" s="324"/>
      <c r="Q209" s="324"/>
      <c r="R209" s="40"/>
      <c r="S209" s="114"/>
      <c r="T209" s="114"/>
      <c r="U209" s="114"/>
      <c r="V209" s="114"/>
      <c r="W209" s="324"/>
      <c r="X209" s="114"/>
      <c r="Y209" s="114"/>
      <c r="Z209" s="326"/>
      <c r="AA209" s="381"/>
      <c r="AB209" s="381"/>
      <c r="AC209" s="381"/>
      <c r="AD209" s="381"/>
      <c r="AE209" s="381"/>
      <c r="AF209" s="381"/>
      <c r="AG209" s="381"/>
      <c r="AH209" s="326"/>
      <c r="AI209" s="326"/>
      <c r="AJ209" s="326"/>
      <c r="AK209" s="381"/>
      <c r="AL209" s="381"/>
      <c r="AM209" s="326"/>
      <c r="AN209" s="326"/>
      <c r="AO209" s="381"/>
      <c r="AP209" s="381"/>
      <c r="AQ209" s="381"/>
    </row>
    <row r="210" spans="1:43" ht="14.25" x14ac:dyDescent="0.15">
      <c r="A210" s="379"/>
      <c r="B210" s="37"/>
      <c r="C210" s="324"/>
      <c r="D210" s="324"/>
      <c r="E210" s="324"/>
      <c r="F210" s="324"/>
      <c r="G210" s="324"/>
      <c r="H210" s="380"/>
      <c r="I210" s="380"/>
      <c r="J210" s="324"/>
      <c r="K210" s="324"/>
      <c r="L210" s="324"/>
      <c r="M210" s="324"/>
      <c r="N210" s="324"/>
      <c r="O210" s="324"/>
      <c r="P210" s="324"/>
      <c r="Q210" s="324"/>
      <c r="R210" s="40"/>
      <c r="S210" s="114"/>
      <c r="T210" s="114"/>
      <c r="U210" s="114"/>
      <c r="V210" s="114"/>
      <c r="W210" s="324"/>
      <c r="X210" s="114"/>
      <c r="Y210" s="114"/>
      <c r="Z210" s="326"/>
      <c r="AA210" s="381"/>
      <c r="AB210" s="381"/>
      <c r="AC210" s="381"/>
      <c r="AD210" s="381"/>
      <c r="AE210" s="381"/>
      <c r="AF210" s="381"/>
      <c r="AG210" s="381"/>
      <c r="AH210" s="326"/>
      <c r="AI210" s="326"/>
      <c r="AJ210" s="326"/>
      <c r="AK210" s="381"/>
      <c r="AL210" s="381"/>
      <c r="AM210" s="326"/>
      <c r="AN210" s="326"/>
      <c r="AO210" s="381"/>
      <c r="AP210" s="381"/>
      <c r="AQ210" s="381"/>
    </row>
    <row r="211" spans="1:43" ht="17.25" thickBot="1" x14ac:dyDescent="0.2">
      <c r="A211" s="330" t="s">
        <v>771</v>
      </c>
      <c r="B211" s="199"/>
      <c r="C211" s="69"/>
      <c r="D211" s="69"/>
      <c r="E211" s="69"/>
      <c r="F211" s="69"/>
      <c r="G211" s="69"/>
      <c r="H211" s="69"/>
      <c r="I211" s="69"/>
      <c r="J211" s="69"/>
      <c r="K211" s="69"/>
      <c r="L211" s="69"/>
      <c r="M211" s="51" t="s">
        <v>108</v>
      </c>
      <c r="N211" s="51" t="s">
        <v>108</v>
      </c>
      <c r="O211" s="51" t="s">
        <v>108</v>
      </c>
      <c r="P211" s="51" t="s">
        <v>108</v>
      </c>
      <c r="Q211" s="51" t="s">
        <v>108</v>
      </c>
      <c r="R211" s="51"/>
      <c r="S211" s="68"/>
      <c r="T211" s="68"/>
      <c r="U211" s="68"/>
      <c r="V211" s="68"/>
      <c r="W211" s="51"/>
      <c r="X211" s="68"/>
      <c r="Y211" s="68"/>
      <c r="Z211" s="68"/>
      <c r="AA211" s="68"/>
      <c r="AB211" s="68"/>
      <c r="AC211" s="68"/>
      <c r="AD211" s="68"/>
      <c r="AE211" s="68"/>
      <c r="AF211" s="68"/>
      <c r="AG211" s="68"/>
      <c r="AH211" s="68"/>
      <c r="AI211" s="68"/>
      <c r="AJ211" s="68"/>
      <c r="AK211" s="68"/>
      <c r="AL211" s="68"/>
      <c r="AM211" s="68"/>
      <c r="AN211" s="68"/>
      <c r="AO211" s="68"/>
      <c r="AP211" s="68"/>
      <c r="AQ211" s="68"/>
    </row>
    <row r="212" spans="1:43" x14ac:dyDescent="0.15">
      <c r="A212" s="60" t="s">
        <v>101</v>
      </c>
      <c r="B212" s="60" t="s">
        <v>101</v>
      </c>
      <c r="C212" s="60"/>
      <c r="D212" s="70"/>
      <c r="E212" s="70"/>
      <c r="F212" s="70"/>
      <c r="G212" s="70"/>
      <c r="H212" s="71"/>
      <c r="I212" s="71"/>
      <c r="J212" s="60"/>
      <c r="K212" s="60"/>
      <c r="L212" s="70"/>
      <c r="M212" s="124"/>
      <c r="N212" s="124"/>
      <c r="O212" s="124"/>
      <c r="P212" s="124"/>
      <c r="Q212" s="124"/>
      <c r="R212" s="202"/>
      <c r="S212" s="56" t="s">
        <v>125</v>
      </c>
      <c r="T212" s="56"/>
      <c r="U212" s="172"/>
      <c r="V212" s="172"/>
      <c r="W212" s="200"/>
      <c r="X212" s="108" t="s">
        <v>61</v>
      </c>
      <c r="Y212" s="108"/>
      <c r="Z212" s="108"/>
      <c r="AA212" s="53"/>
      <c r="AB212" s="55"/>
      <c r="AC212" s="55"/>
      <c r="AD212" s="54"/>
      <c r="AE212" s="54"/>
      <c r="AF212" s="54"/>
      <c r="AG212" s="54"/>
      <c r="AH212" s="57"/>
      <c r="AI212" s="57"/>
      <c r="AJ212" s="58"/>
      <c r="AK212" s="56" t="s">
        <v>93</v>
      </c>
      <c r="AL212" s="57"/>
      <c r="AM212" s="57"/>
      <c r="AN212" s="57"/>
      <c r="AO212" s="72" t="s">
        <v>109</v>
      </c>
      <c r="AP212" s="130"/>
      <c r="AQ212" s="131"/>
    </row>
    <row r="213" spans="1:43" s="100" customFormat="1" ht="94.5" customHeight="1" x14ac:dyDescent="0.15">
      <c r="A213" s="98" t="s">
        <v>52</v>
      </c>
      <c r="B213" s="101"/>
      <c r="C213" s="61" t="s">
        <v>1175</v>
      </c>
      <c r="D213" s="61" t="s">
        <v>795</v>
      </c>
      <c r="E213" s="61" t="s">
        <v>796</v>
      </c>
      <c r="F213" s="61" t="s">
        <v>797</v>
      </c>
      <c r="G213" s="61" t="s">
        <v>773</v>
      </c>
      <c r="H213" s="61" t="s">
        <v>104</v>
      </c>
      <c r="I213" s="61" t="s">
        <v>104</v>
      </c>
      <c r="J213" s="61" t="s">
        <v>1176</v>
      </c>
      <c r="K213" s="61"/>
      <c r="L213" s="61" t="s">
        <v>1177</v>
      </c>
      <c r="M213" s="125" t="s">
        <v>105</v>
      </c>
      <c r="N213" s="125" t="s">
        <v>1162</v>
      </c>
      <c r="O213" s="125" t="s">
        <v>1151</v>
      </c>
      <c r="P213" s="125" t="s">
        <v>1152</v>
      </c>
      <c r="Q213" s="125" t="s">
        <v>1153</v>
      </c>
      <c r="R213" s="203"/>
      <c r="S213" s="65" t="s">
        <v>126</v>
      </c>
      <c r="T213" s="173" t="s">
        <v>743</v>
      </c>
      <c r="U213" s="173"/>
      <c r="V213" s="173" t="s">
        <v>889</v>
      </c>
      <c r="W213" s="201"/>
      <c r="X213" s="109" t="s">
        <v>100</v>
      </c>
      <c r="Y213" s="112" t="s">
        <v>110</v>
      </c>
      <c r="Z213" s="115" t="s">
        <v>111</v>
      </c>
      <c r="AA213" s="102" t="s">
        <v>112</v>
      </c>
      <c r="AB213" s="102" t="s">
        <v>883</v>
      </c>
      <c r="AC213" s="102" t="s">
        <v>884</v>
      </c>
      <c r="AD213" s="64" t="s">
        <v>885</v>
      </c>
      <c r="AE213" s="64" t="s">
        <v>886</v>
      </c>
      <c r="AF213" s="64" t="s">
        <v>96</v>
      </c>
      <c r="AG213" s="116" t="s">
        <v>97</v>
      </c>
      <c r="AH213" s="99" t="s">
        <v>106</v>
      </c>
      <c r="AI213" s="99" t="s">
        <v>107</v>
      </c>
      <c r="AJ213" s="104" t="s">
        <v>95</v>
      </c>
      <c r="AK213" s="65" t="s">
        <v>1155</v>
      </c>
      <c r="AL213" s="103" t="s">
        <v>113</v>
      </c>
      <c r="AM213" s="103" t="s">
        <v>887</v>
      </c>
      <c r="AN213" s="59" t="s">
        <v>94</v>
      </c>
      <c r="AO213" s="62" t="s">
        <v>98</v>
      </c>
      <c r="AP213" s="63" t="s">
        <v>99</v>
      </c>
      <c r="AQ213" s="73" t="s">
        <v>114</v>
      </c>
    </row>
    <row r="214" spans="1:43" ht="14.25" x14ac:dyDescent="0.15">
      <c r="A214" s="674" t="s">
        <v>53</v>
      </c>
      <c r="B214" s="105" t="s">
        <v>115</v>
      </c>
      <c r="C214" s="309">
        <f t="shared" ref="C214:G223" si="90">+C4*0.8</f>
        <v>36000</v>
      </c>
      <c r="D214" s="309">
        <f t="shared" si="90"/>
        <v>28000</v>
      </c>
      <c r="E214" s="309">
        <f t="shared" si="90"/>
        <v>28000</v>
      </c>
      <c r="F214" s="309">
        <f t="shared" si="90"/>
        <v>28000</v>
      </c>
      <c r="G214" s="309">
        <f t="shared" si="90"/>
        <v>28000</v>
      </c>
      <c r="H214" s="312"/>
      <c r="I214" s="312"/>
      <c r="J214" s="42" t="s">
        <v>1183</v>
      </c>
      <c r="K214" s="309"/>
      <c r="L214" s="309">
        <f t="shared" ref="L214:L226" si="91">+L4*0.8</f>
        <v>32000</v>
      </c>
      <c r="M214" s="313"/>
      <c r="N214" s="313"/>
      <c r="O214" s="313"/>
      <c r="P214" s="313"/>
      <c r="Q214" s="313"/>
      <c r="R214" s="107"/>
      <c r="S214" s="77">
        <v>25000</v>
      </c>
      <c r="T214" s="41"/>
      <c r="U214" s="41"/>
      <c r="V214" s="41"/>
      <c r="W214" s="320"/>
      <c r="X214" s="110">
        <v>2000</v>
      </c>
      <c r="Y214" s="113">
        <v>2000</v>
      </c>
      <c r="Z214" s="363">
        <f t="shared" ref="Z214:AL214" si="92">+Z4*0.8</f>
        <v>3600</v>
      </c>
      <c r="AA214" s="364">
        <f t="shared" si="92"/>
        <v>14400</v>
      </c>
      <c r="AB214" s="364">
        <f t="shared" si="92"/>
        <v>7200</v>
      </c>
      <c r="AC214" s="364">
        <f t="shared" si="92"/>
        <v>14400</v>
      </c>
      <c r="AD214" s="364">
        <f t="shared" si="92"/>
        <v>7200</v>
      </c>
      <c r="AE214" s="364">
        <f t="shared" si="92"/>
        <v>14400</v>
      </c>
      <c r="AF214" s="364">
        <f t="shared" si="92"/>
        <v>14400</v>
      </c>
      <c r="AG214" s="365">
        <f t="shared" si="92"/>
        <v>14400</v>
      </c>
      <c r="AH214" s="78">
        <v>180000</v>
      </c>
      <c r="AI214" s="78">
        <v>360000</v>
      </c>
      <c r="AJ214" s="79">
        <v>60000</v>
      </c>
      <c r="AK214" s="366">
        <f t="shared" si="92"/>
        <v>7200</v>
      </c>
      <c r="AL214" s="364">
        <f t="shared" si="92"/>
        <v>7200</v>
      </c>
      <c r="AM214" s="75">
        <v>150000</v>
      </c>
      <c r="AN214" s="78">
        <v>60000</v>
      </c>
      <c r="AO214" s="367">
        <f t="shared" ref="AO214:AQ226" si="93">+AO4*0.8</f>
        <v>21600</v>
      </c>
      <c r="AP214" s="364">
        <f t="shared" si="93"/>
        <v>14400</v>
      </c>
      <c r="AQ214" s="364">
        <f t="shared" si="93"/>
        <v>7200</v>
      </c>
    </row>
    <row r="215" spans="1:43" ht="15" thickBot="1" x14ac:dyDescent="0.2">
      <c r="A215" s="677"/>
      <c r="B215" s="82" t="s">
        <v>116</v>
      </c>
      <c r="C215" s="310">
        <f t="shared" si="90"/>
        <v>52000</v>
      </c>
      <c r="D215" s="310">
        <f t="shared" si="90"/>
        <v>36000</v>
      </c>
      <c r="E215" s="310">
        <f t="shared" si="90"/>
        <v>36000</v>
      </c>
      <c r="F215" s="310">
        <f t="shared" si="90"/>
        <v>36000</v>
      </c>
      <c r="G215" s="310">
        <f t="shared" si="90"/>
        <v>36000</v>
      </c>
      <c r="H215" s="314"/>
      <c r="I215" s="314"/>
      <c r="J215" s="43" t="s">
        <v>1183</v>
      </c>
      <c r="K215" s="310"/>
      <c r="L215" s="310">
        <f t="shared" si="91"/>
        <v>40000</v>
      </c>
      <c r="M215" s="359"/>
      <c r="N215" s="359"/>
      <c r="O215" s="359"/>
      <c r="P215" s="359"/>
      <c r="Q215" s="359"/>
      <c r="R215" s="40"/>
      <c r="S215" s="80">
        <v>25000</v>
      </c>
      <c r="T215" s="41"/>
      <c r="U215" s="41"/>
      <c r="V215" s="41"/>
      <c r="W215" s="324"/>
      <c r="X215" s="111">
        <v>2000</v>
      </c>
      <c r="Y215" s="114">
        <v>2000</v>
      </c>
      <c r="Z215" s="363">
        <f t="shared" ref="Z215:AL215" si="94">+Z5*0.8</f>
        <v>5200</v>
      </c>
      <c r="AA215" s="367">
        <f t="shared" si="94"/>
        <v>20800</v>
      </c>
      <c r="AB215" s="367">
        <f t="shared" si="94"/>
        <v>10400</v>
      </c>
      <c r="AC215" s="367">
        <f t="shared" si="94"/>
        <v>20800</v>
      </c>
      <c r="AD215" s="367">
        <f t="shared" si="94"/>
        <v>10400</v>
      </c>
      <c r="AE215" s="367">
        <f t="shared" si="94"/>
        <v>20800</v>
      </c>
      <c r="AF215" s="367">
        <f t="shared" si="94"/>
        <v>20800</v>
      </c>
      <c r="AG215" s="369">
        <f t="shared" si="94"/>
        <v>20800</v>
      </c>
      <c r="AH215" s="78">
        <v>180000</v>
      </c>
      <c r="AI215" s="78">
        <v>360000</v>
      </c>
      <c r="AJ215" s="79">
        <v>60000</v>
      </c>
      <c r="AK215" s="370">
        <f t="shared" si="94"/>
        <v>10400</v>
      </c>
      <c r="AL215" s="367">
        <f t="shared" si="94"/>
        <v>10400</v>
      </c>
      <c r="AM215" s="78">
        <v>150000</v>
      </c>
      <c r="AN215" s="78">
        <v>60000</v>
      </c>
      <c r="AO215" s="367">
        <f t="shared" si="93"/>
        <v>31200</v>
      </c>
      <c r="AP215" s="367">
        <f t="shared" si="93"/>
        <v>20800</v>
      </c>
      <c r="AQ215" s="367">
        <f t="shared" si="93"/>
        <v>10400</v>
      </c>
    </row>
    <row r="216" spans="1:43" ht="14.25" x14ac:dyDescent="0.15">
      <c r="A216" s="343" t="s">
        <v>117</v>
      </c>
      <c r="B216" s="84" t="s">
        <v>920</v>
      </c>
      <c r="C216" s="360">
        <f t="shared" si="90"/>
        <v>49600</v>
      </c>
      <c r="D216" s="360">
        <f t="shared" si="90"/>
        <v>32000</v>
      </c>
      <c r="E216" s="360">
        <f t="shared" si="90"/>
        <v>32000</v>
      </c>
      <c r="F216" s="360">
        <f t="shared" si="90"/>
        <v>32000</v>
      </c>
      <c r="G216" s="360">
        <f t="shared" si="90"/>
        <v>32000</v>
      </c>
      <c r="H216" s="86"/>
      <c r="I216" s="86"/>
      <c r="J216" s="700" t="s">
        <v>1183</v>
      </c>
      <c r="K216" s="360"/>
      <c r="L216" s="360">
        <f t="shared" si="91"/>
        <v>36000</v>
      </c>
      <c r="M216" s="361">
        <f t="shared" ref="M216:Q226" si="95">+M6*0.8</f>
        <v>43200</v>
      </c>
      <c r="N216" s="361">
        <f t="shared" ref="N216:P216" si="96">+N6*0.8</f>
        <v>51840</v>
      </c>
      <c r="O216" s="361">
        <f t="shared" si="96"/>
        <v>51840</v>
      </c>
      <c r="P216" s="361">
        <f t="shared" si="96"/>
        <v>60480</v>
      </c>
      <c r="Q216" s="361">
        <f t="shared" si="95"/>
        <v>4320</v>
      </c>
      <c r="R216" s="40"/>
      <c r="S216" s="80">
        <v>25000</v>
      </c>
      <c r="T216" s="376"/>
      <c r="U216" s="376"/>
      <c r="V216" s="376"/>
      <c r="W216" s="324"/>
      <c r="X216" s="111">
        <v>2000</v>
      </c>
      <c r="Y216" s="114">
        <v>2000</v>
      </c>
      <c r="Z216" s="363">
        <f t="shared" ref="Z216:AL216" si="97">+Z6*0.8</f>
        <v>4960</v>
      </c>
      <c r="AA216" s="367">
        <f t="shared" si="97"/>
        <v>19840</v>
      </c>
      <c r="AB216" s="367">
        <f t="shared" si="97"/>
        <v>9920</v>
      </c>
      <c r="AC216" s="367">
        <f t="shared" si="97"/>
        <v>19840</v>
      </c>
      <c r="AD216" s="367">
        <f t="shared" si="97"/>
        <v>9920</v>
      </c>
      <c r="AE216" s="367">
        <f t="shared" si="97"/>
        <v>19840</v>
      </c>
      <c r="AF216" s="367">
        <f t="shared" si="97"/>
        <v>19840</v>
      </c>
      <c r="AG216" s="369">
        <f t="shared" si="97"/>
        <v>19840</v>
      </c>
      <c r="AH216" s="89">
        <v>180000</v>
      </c>
      <c r="AI216" s="89">
        <v>360000</v>
      </c>
      <c r="AJ216" s="90">
        <v>60000</v>
      </c>
      <c r="AK216" s="370">
        <f t="shared" si="97"/>
        <v>9920</v>
      </c>
      <c r="AL216" s="367">
        <f t="shared" si="97"/>
        <v>9920</v>
      </c>
      <c r="AM216" s="87">
        <v>150000</v>
      </c>
      <c r="AN216" s="87">
        <v>60000</v>
      </c>
      <c r="AO216" s="367">
        <f t="shared" si="93"/>
        <v>29760</v>
      </c>
      <c r="AP216" s="367">
        <f t="shared" si="93"/>
        <v>19840</v>
      </c>
      <c r="AQ216" s="367">
        <f t="shared" si="93"/>
        <v>9920</v>
      </c>
    </row>
    <row r="217" spans="1:43" ht="14.25" x14ac:dyDescent="0.15">
      <c r="A217" s="343"/>
      <c r="B217" s="105" t="s">
        <v>921</v>
      </c>
      <c r="C217" s="357">
        <f t="shared" si="90"/>
        <v>68800</v>
      </c>
      <c r="D217" s="357">
        <f t="shared" si="90"/>
        <v>40000</v>
      </c>
      <c r="E217" s="357">
        <f t="shared" si="90"/>
        <v>40000</v>
      </c>
      <c r="F217" s="357">
        <f t="shared" si="90"/>
        <v>40000</v>
      </c>
      <c r="G217" s="357">
        <f t="shared" si="90"/>
        <v>40000</v>
      </c>
      <c r="H217" s="41"/>
      <c r="I217" s="41"/>
      <c r="J217" s="701" t="s">
        <v>1183</v>
      </c>
      <c r="K217" s="357"/>
      <c r="L217" s="357">
        <f t="shared" si="91"/>
        <v>44000</v>
      </c>
      <c r="M217" s="358">
        <f t="shared" si="95"/>
        <v>52800</v>
      </c>
      <c r="N217" s="358">
        <f t="shared" ref="N217:P217" si="98">+N7*0.8</f>
        <v>63360</v>
      </c>
      <c r="O217" s="358">
        <f t="shared" si="98"/>
        <v>63360</v>
      </c>
      <c r="P217" s="358">
        <f t="shared" si="98"/>
        <v>73920</v>
      </c>
      <c r="Q217" s="358">
        <f t="shared" si="95"/>
        <v>5280</v>
      </c>
      <c r="R217" s="40"/>
      <c r="S217" s="80">
        <v>25000</v>
      </c>
      <c r="T217" s="376"/>
      <c r="U217" s="376"/>
      <c r="V217" s="376"/>
      <c r="W217" s="324"/>
      <c r="X217" s="111">
        <v>2000</v>
      </c>
      <c r="Y217" s="114">
        <v>2000</v>
      </c>
      <c r="Z217" s="363">
        <f t="shared" ref="Z217:AL217" si="99">+Z7*0.8</f>
        <v>6880</v>
      </c>
      <c r="AA217" s="367">
        <f t="shared" si="99"/>
        <v>27520</v>
      </c>
      <c r="AB217" s="367">
        <f t="shared" si="99"/>
        <v>13760</v>
      </c>
      <c r="AC217" s="367">
        <f t="shared" si="99"/>
        <v>27520</v>
      </c>
      <c r="AD217" s="367">
        <f t="shared" si="99"/>
        <v>13760</v>
      </c>
      <c r="AE217" s="367">
        <f t="shared" si="99"/>
        <v>27520</v>
      </c>
      <c r="AF217" s="367">
        <f t="shared" si="99"/>
        <v>27520</v>
      </c>
      <c r="AG217" s="369">
        <f t="shared" si="99"/>
        <v>27520</v>
      </c>
      <c r="AH217" s="75">
        <v>180000</v>
      </c>
      <c r="AI217" s="75">
        <v>360000</v>
      </c>
      <c r="AJ217" s="76">
        <v>60000</v>
      </c>
      <c r="AK217" s="370">
        <f t="shared" si="99"/>
        <v>13760</v>
      </c>
      <c r="AL217" s="367">
        <f t="shared" si="99"/>
        <v>13760</v>
      </c>
      <c r="AM217" s="75">
        <v>150000</v>
      </c>
      <c r="AN217" s="75">
        <v>60000</v>
      </c>
      <c r="AO217" s="367">
        <f t="shared" si="93"/>
        <v>41280</v>
      </c>
      <c r="AP217" s="367">
        <f t="shared" si="93"/>
        <v>27520</v>
      </c>
      <c r="AQ217" s="367">
        <f t="shared" si="93"/>
        <v>13760</v>
      </c>
    </row>
    <row r="218" spans="1:43" ht="15" thickBot="1" x14ac:dyDescent="0.2">
      <c r="A218" s="343"/>
      <c r="B218" s="82" t="s">
        <v>941</v>
      </c>
      <c r="C218" s="357">
        <f t="shared" si="90"/>
        <v>97600</v>
      </c>
      <c r="D218" s="357">
        <f t="shared" si="90"/>
        <v>70400</v>
      </c>
      <c r="E218" s="357">
        <f t="shared" si="90"/>
        <v>70400</v>
      </c>
      <c r="F218" s="357">
        <f t="shared" si="90"/>
        <v>70400</v>
      </c>
      <c r="G218" s="357">
        <f t="shared" si="90"/>
        <v>70400</v>
      </c>
      <c r="H218" s="83"/>
      <c r="I218" s="83"/>
      <c r="J218" s="701" t="s">
        <v>1183</v>
      </c>
      <c r="K218" s="357"/>
      <c r="L218" s="357">
        <f t="shared" si="91"/>
        <v>72000</v>
      </c>
      <c r="M218" s="358">
        <f t="shared" si="95"/>
        <v>86400</v>
      </c>
      <c r="N218" s="358">
        <f t="shared" ref="N218:P218" si="100">+N8*0.8</f>
        <v>103680</v>
      </c>
      <c r="O218" s="358">
        <f t="shared" si="100"/>
        <v>103680</v>
      </c>
      <c r="P218" s="358">
        <f t="shared" si="100"/>
        <v>120960</v>
      </c>
      <c r="Q218" s="358">
        <f t="shared" si="95"/>
        <v>8640</v>
      </c>
      <c r="R218" s="40"/>
      <c r="S218" s="80">
        <v>25000</v>
      </c>
      <c r="T218" s="376"/>
      <c r="U218" s="376"/>
      <c r="V218" s="376"/>
      <c r="W218" s="324"/>
      <c r="X218" s="111">
        <v>2000</v>
      </c>
      <c r="Y218" s="114">
        <v>2000</v>
      </c>
      <c r="Z218" s="363">
        <f t="shared" ref="Z218:AL218" si="101">+Z8*0.8</f>
        <v>9760</v>
      </c>
      <c r="AA218" s="367">
        <f t="shared" si="101"/>
        <v>39040</v>
      </c>
      <c r="AB218" s="367">
        <f t="shared" si="101"/>
        <v>19520</v>
      </c>
      <c r="AC218" s="367">
        <f t="shared" si="101"/>
        <v>39040</v>
      </c>
      <c r="AD218" s="367">
        <f t="shared" si="101"/>
        <v>19520</v>
      </c>
      <c r="AE218" s="367">
        <f t="shared" si="101"/>
        <v>39040</v>
      </c>
      <c r="AF218" s="367">
        <f t="shared" si="101"/>
        <v>39040</v>
      </c>
      <c r="AG218" s="369">
        <f t="shared" si="101"/>
        <v>39040</v>
      </c>
      <c r="AH218" s="93">
        <v>180000</v>
      </c>
      <c r="AI218" s="93">
        <v>360000</v>
      </c>
      <c r="AJ218" s="94">
        <v>60000</v>
      </c>
      <c r="AK218" s="370">
        <f t="shared" si="101"/>
        <v>19520</v>
      </c>
      <c r="AL218" s="367">
        <f t="shared" si="101"/>
        <v>19520</v>
      </c>
      <c r="AM218" s="93">
        <v>150000</v>
      </c>
      <c r="AN218" s="93">
        <v>60000</v>
      </c>
      <c r="AO218" s="367">
        <f t="shared" si="93"/>
        <v>58560</v>
      </c>
      <c r="AP218" s="367">
        <f t="shared" si="93"/>
        <v>39040</v>
      </c>
      <c r="AQ218" s="367">
        <f t="shared" si="93"/>
        <v>19520</v>
      </c>
    </row>
    <row r="219" spans="1:43" ht="15" thickBot="1" x14ac:dyDescent="0.2">
      <c r="A219" s="343"/>
      <c r="B219" s="82" t="s">
        <v>942</v>
      </c>
      <c r="C219" s="357">
        <f t="shared" si="90"/>
        <v>97600</v>
      </c>
      <c r="D219" s="357">
        <f t="shared" si="90"/>
        <v>70400</v>
      </c>
      <c r="E219" s="357">
        <f t="shared" si="90"/>
        <v>70400</v>
      </c>
      <c r="F219" s="357">
        <f t="shared" si="90"/>
        <v>70400</v>
      </c>
      <c r="G219" s="357">
        <f t="shared" si="90"/>
        <v>70400</v>
      </c>
      <c r="H219" s="83"/>
      <c r="I219" s="83"/>
      <c r="J219" s="701" t="s">
        <v>1183</v>
      </c>
      <c r="K219" s="357"/>
      <c r="L219" s="357">
        <f t="shared" si="91"/>
        <v>72000</v>
      </c>
      <c r="M219" s="358">
        <f t="shared" si="95"/>
        <v>86400</v>
      </c>
      <c r="N219" s="358">
        <f t="shared" ref="N219:P219" si="102">+N9*0.8</f>
        <v>103680</v>
      </c>
      <c r="O219" s="358">
        <f t="shared" si="102"/>
        <v>103680</v>
      </c>
      <c r="P219" s="358">
        <f t="shared" si="102"/>
        <v>120960</v>
      </c>
      <c r="Q219" s="358">
        <f t="shared" si="95"/>
        <v>8640</v>
      </c>
      <c r="R219" s="40"/>
      <c r="S219" s="80">
        <v>25000</v>
      </c>
      <c r="T219" s="376"/>
      <c r="U219" s="376"/>
      <c r="V219" s="376"/>
      <c r="W219" s="324"/>
      <c r="X219" s="111">
        <v>2000</v>
      </c>
      <c r="Y219" s="114">
        <v>2000</v>
      </c>
      <c r="Z219" s="363">
        <f t="shared" ref="Z219:AL219" si="103">+Z9*0.8</f>
        <v>9760</v>
      </c>
      <c r="AA219" s="367">
        <f t="shared" si="103"/>
        <v>39040</v>
      </c>
      <c r="AB219" s="367">
        <f t="shared" si="103"/>
        <v>19520</v>
      </c>
      <c r="AC219" s="367">
        <f t="shared" si="103"/>
        <v>39040</v>
      </c>
      <c r="AD219" s="367">
        <f t="shared" si="103"/>
        <v>19520</v>
      </c>
      <c r="AE219" s="367">
        <f t="shared" si="103"/>
        <v>39040</v>
      </c>
      <c r="AF219" s="367">
        <f t="shared" si="103"/>
        <v>39040</v>
      </c>
      <c r="AG219" s="369">
        <f t="shared" si="103"/>
        <v>39040</v>
      </c>
      <c r="AH219" s="93">
        <v>180000</v>
      </c>
      <c r="AI219" s="93">
        <v>360000</v>
      </c>
      <c r="AJ219" s="94">
        <v>60000</v>
      </c>
      <c r="AK219" s="370">
        <f t="shared" si="103"/>
        <v>19520</v>
      </c>
      <c r="AL219" s="367">
        <f t="shared" si="103"/>
        <v>19520</v>
      </c>
      <c r="AM219" s="93">
        <v>150000</v>
      </c>
      <c r="AN219" s="93">
        <v>60000</v>
      </c>
      <c r="AO219" s="367">
        <f t="shared" si="93"/>
        <v>58560</v>
      </c>
      <c r="AP219" s="367">
        <f t="shared" si="93"/>
        <v>39040</v>
      </c>
      <c r="AQ219" s="367">
        <f t="shared" si="93"/>
        <v>19520</v>
      </c>
    </row>
    <row r="220" spans="1:43" ht="14.25" x14ac:dyDescent="0.15">
      <c r="A220" s="675" t="s">
        <v>122</v>
      </c>
      <c r="B220" s="84" t="s">
        <v>66</v>
      </c>
      <c r="C220" s="311">
        <f t="shared" si="90"/>
        <v>62400</v>
      </c>
      <c r="D220" s="311">
        <f t="shared" si="90"/>
        <v>43200</v>
      </c>
      <c r="E220" s="311">
        <f t="shared" si="90"/>
        <v>43200</v>
      </c>
      <c r="F220" s="311">
        <f t="shared" si="90"/>
        <v>43200</v>
      </c>
      <c r="G220" s="311">
        <f t="shared" si="90"/>
        <v>43200</v>
      </c>
      <c r="H220" s="311">
        <f t="shared" ref="H220:I226" si="104">+H10*0.8</f>
        <v>115200</v>
      </c>
      <c r="I220" s="311">
        <f t="shared" si="104"/>
        <v>138240</v>
      </c>
      <c r="J220" s="85" t="s">
        <v>1183</v>
      </c>
      <c r="K220" s="311"/>
      <c r="L220" s="311">
        <f t="shared" si="91"/>
        <v>46400</v>
      </c>
      <c r="M220" s="362">
        <f t="shared" si="95"/>
        <v>56000</v>
      </c>
      <c r="N220" s="362">
        <f t="shared" ref="N220:P220" si="105">+N10*0.8</f>
        <v>67200</v>
      </c>
      <c r="O220" s="362">
        <f t="shared" si="105"/>
        <v>67200</v>
      </c>
      <c r="P220" s="362">
        <f t="shared" si="105"/>
        <v>78400</v>
      </c>
      <c r="Q220" s="362">
        <f t="shared" si="95"/>
        <v>5600</v>
      </c>
      <c r="R220" s="155"/>
      <c r="S220" s="88">
        <v>25000</v>
      </c>
      <c r="T220" s="120">
        <v>60000</v>
      </c>
      <c r="U220" s="120"/>
      <c r="V220" s="120">
        <v>3000</v>
      </c>
      <c r="W220" s="329"/>
      <c r="X220" s="110">
        <v>2000</v>
      </c>
      <c r="Y220" s="113">
        <v>2000</v>
      </c>
      <c r="Z220" s="363">
        <f t="shared" ref="Z220:AL220" si="106">+Z10*0.8</f>
        <v>6240</v>
      </c>
      <c r="AA220" s="364">
        <f t="shared" si="106"/>
        <v>24960</v>
      </c>
      <c r="AB220" s="364">
        <f t="shared" si="106"/>
        <v>12480</v>
      </c>
      <c r="AC220" s="364">
        <f t="shared" si="106"/>
        <v>24960</v>
      </c>
      <c r="AD220" s="364">
        <f t="shared" si="106"/>
        <v>12480</v>
      </c>
      <c r="AE220" s="364">
        <f t="shared" si="106"/>
        <v>24960</v>
      </c>
      <c r="AF220" s="364">
        <f t="shared" si="106"/>
        <v>24960</v>
      </c>
      <c r="AG220" s="365">
        <f t="shared" si="106"/>
        <v>24960</v>
      </c>
      <c r="AH220" s="92">
        <v>180000</v>
      </c>
      <c r="AI220" s="92">
        <v>360000</v>
      </c>
      <c r="AJ220" s="119">
        <v>60000</v>
      </c>
      <c r="AK220" s="366">
        <f t="shared" si="106"/>
        <v>12480</v>
      </c>
      <c r="AL220" s="364">
        <f t="shared" si="106"/>
        <v>12480</v>
      </c>
      <c r="AM220" s="92">
        <v>150000</v>
      </c>
      <c r="AN220" s="92">
        <v>60000</v>
      </c>
      <c r="AO220" s="364">
        <f t="shared" si="93"/>
        <v>37440</v>
      </c>
      <c r="AP220" s="364">
        <f t="shared" si="93"/>
        <v>24960</v>
      </c>
      <c r="AQ220" s="364">
        <f t="shared" si="93"/>
        <v>12480</v>
      </c>
    </row>
    <row r="221" spans="1:43" ht="14.25" x14ac:dyDescent="0.15">
      <c r="A221" s="343"/>
      <c r="B221" s="91" t="s">
        <v>67</v>
      </c>
      <c r="C221" s="309">
        <f t="shared" si="90"/>
        <v>81600</v>
      </c>
      <c r="D221" s="309">
        <f t="shared" si="90"/>
        <v>49600</v>
      </c>
      <c r="E221" s="309">
        <f t="shared" si="90"/>
        <v>49600</v>
      </c>
      <c r="F221" s="309">
        <f t="shared" si="90"/>
        <v>49600</v>
      </c>
      <c r="G221" s="309">
        <f t="shared" si="90"/>
        <v>49600</v>
      </c>
      <c r="H221" s="309">
        <f t="shared" si="104"/>
        <v>134400</v>
      </c>
      <c r="I221" s="309">
        <f t="shared" si="104"/>
        <v>161280</v>
      </c>
      <c r="J221" s="42" t="s">
        <v>1183</v>
      </c>
      <c r="K221" s="309"/>
      <c r="L221" s="309">
        <f t="shared" si="91"/>
        <v>51200</v>
      </c>
      <c r="M221" s="316">
        <f t="shared" si="95"/>
        <v>61600</v>
      </c>
      <c r="N221" s="316">
        <f t="shared" ref="N221:P221" si="107">+N11*0.8</f>
        <v>73920</v>
      </c>
      <c r="O221" s="316">
        <f t="shared" si="107"/>
        <v>73920</v>
      </c>
      <c r="P221" s="316">
        <f t="shared" si="107"/>
        <v>86240</v>
      </c>
      <c r="Q221" s="316">
        <f t="shared" si="95"/>
        <v>6160</v>
      </c>
      <c r="R221" s="107"/>
      <c r="S221" s="77">
        <v>25000</v>
      </c>
      <c r="T221" s="110">
        <v>60000</v>
      </c>
      <c r="U221" s="110"/>
      <c r="V221" s="110">
        <v>3000</v>
      </c>
      <c r="W221" s="320"/>
      <c r="X221" s="110">
        <v>2000</v>
      </c>
      <c r="Y221" s="113">
        <v>2000</v>
      </c>
      <c r="Z221" s="363">
        <f t="shared" ref="Z221:AL221" si="108">+Z11*0.8</f>
        <v>8160</v>
      </c>
      <c r="AA221" s="364">
        <f t="shared" si="108"/>
        <v>32640</v>
      </c>
      <c r="AB221" s="364">
        <f t="shared" si="108"/>
        <v>16320</v>
      </c>
      <c r="AC221" s="364">
        <f t="shared" si="108"/>
        <v>32640</v>
      </c>
      <c r="AD221" s="364">
        <f t="shared" si="108"/>
        <v>16320</v>
      </c>
      <c r="AE221" s="364">
        <f t="shared" si="108"/>
        <v>32640</v>
      </c>
      <c r="AF221" s="364">
        <f t="shared" si="108"/>
        <v>32640</v>
      </c>
      <c r="AG221" s="365">
        <f t="shared" si="108"/>
        <v>32640</v>
      </c>
      <c r="AH221" s="78">
        <v>180000</v>
      </c>
      <c r="AI221" s="78">
        <v>360000</v>
      </c>
      <c r="AJ221" s="79">
        <v>60000</v>
      </c>
      <c r="AK221" s="366">
        <f t="shared" si="108"/>
        <v>16320</v>
      </c>
      <c r="AL221" s="364">
        <f t="shared" si="108"/>
        <v>16320</v>
      </c>
      <c r="AM221" s="75">
        <v>150000</v>
      </c>
      <c r="AN221" s="75">
        <v>60000</v>
      </c>
      <c r="AO221" s="364">
        <f t="shared" si="93"/>
        <v>48960</v>
      </c>
      <c r="AP221" s="364">
        <f t="shared" si="93"/>
        <v>32640</v>
      </c>
      <c r="AQ221" s="364">
        <f t="shared" si="93"/>
        <v>16320</v>
      </c>
    </row>
    <row r="222" spans="1:43" ht="14.25" x14ac:dyDescent="0.15">
      <c r="A222" s="343"/>
      <c r="B222" s="91" t="s">
        <v>997</v>
      </c>
      <c r="C222" s="309">
        <f t="shared" si="90"/>
        <v>100800</v>
      </c>
      <c r="D222" s="309">
        <f t="shared" si="90"/>
        <v>72000</v>
      </c>
      <c r="E222" s="309">
        <f t="shared" si="90"/>
        <v>72000</v>
      </c>
      <c r="F222" s="309">
        <f t="shared" si="90"/>
        <v>72000</v>
      </c>
      <c r="G222" s="309">
        <f t="shared" si="90"/>
        <v>72000</v>
      </c>
      <c r="H222" s="309">
        <f t="shared" si="104"/>
        <v>153600</v>
      </c>
      <c r="I222" s="309">
        <f t="shared" si="104"/>
        <v>184320</v>
      </c>
      <c r="J222" s="42" t="s">
        <v>1183</v>
      </c>
      <c r="K222" s="309"/>
      <c r="L222" s="309">
        <f t="shared" si="91"/>
        <v>72000</v>
      </c>
      <c r="M222" s="316">
        <f t="shared" si="95"/>
        <v>86400</v>
      </c>
      <c r="N222" s="316">
        <f t="shared" ref="N222:P222" si="109">+N12*0.8</f>
        <v>103680</v>
      </c>
      <c r="O222" s="316">
        <f t="shared" si="109"/>
        <v>103680</v>
      </c>
      <c r="P222" s="316">
        <f t="shared" si="109"/>
        <v>120960</v>
      </c>
      <c r="Q222" s="316">
        <f t="shared" si="95"/>
        <v>8640</v>
      </c>
      <c r="R222" s="107"/>
      <c r="S222" s="77">
        <v>25000</v>
      </c>
      <c r="T222" s="110">
        <v>60000</v>
      </c>
      <c r="U222" s="110"/>
      <c r="V222" s="110">
        <v>3000</v>
      </c>
      <c r="W222" s="320"/>
      <c r="X222" s="110">
        <v>2000</v>
      </c>
      <c r="Y222" s="113">
        <v>2000</v>
      </c>
      <c r="Z222" s="363">
        <f t="shared" ref="Z222:AL222" si="110">+Z12*0.8</f>
        <v>10080</v>
      </c>
      <c r="AA222" s="364">
        <f t="shared" si="110"/>
        <v>40320</v>
      </c>
      <c r="AB222" s="364">
        <f t="shared" si="110"/>
        <v>20160</v>
      </c>
      <c r="AC222" s="364">
        <f t="shared" si="110"/>
        <v>40320</v>
      </c>
      <c r="AD222" s="364">
        <f t="shared" si="110"/>
        <v>20160</v>
      </c>
      <c r="AE222" s="364">
        <f t="shared" si="110"/>
        <v>40320</v>
      </c>
      <c r="AF222" s="364">
        <f t="shared" si="110"/>
        <v>40320</v>
      </c>
      <c r="AG222" s="365">
        <f t="shared" si="110"/>
        <v>40320</v>
      </c>
      <c r="AH222" s="75">
        <v>180000</v>
      </c>
      <c r="AI222" s="75">
        <v>360000</v>
      </c>
      <c r="AJ222" s="76">
        <v>60000</v>
      </c>
      <c r="AK222" s="366">
        <f t="shared" si="110"/>
        <v>20160</v>
      </c>
      <c r="AL222" s="364">
        <f t="shared" si="110"/>
        <v>20160</v>
      </c>
      <c r="AM222" s="75">
        <v>150000</v>
      </c>
      <c r="AN222" s="75">
        <v>60000</v>
      </c>
      <c r="AO222" s="364">
        <f t="shared" si="93"/>
        <v>60480</v>
      </c>
      <c r="AP222" s="364">
        <f t="shared" si="93"/>
        <v>40320</v>
      </c>
      <c r="AQ222" s="364">
        <f t="shared" si="93"/>
        <v>20160</v>
      </c>
    </row>
    <row r="223" spans="1:43" ht="14.25" x14ac:dyDescent="0.15">
      <c r="A223" s="343"/>
      <c r="B223" s="91" t="s">
        <v>998</v>
      </c>
      <c r="C223" s="309">
        <f t="shared" si="90"/>
        <v>100800</v>
      </c>
      <c r="D223" s="309">
        <f t="shared" si="90"/>
        <v>72000</v>
      </c>
      <c r="E223" s="309">
        <f t="shared" si="90"/>
        <v>72000</v>
      </c>
      <c r="F223" s="309">
        <f t="shared" si="90"/>
        <v>72000</v>
      </c>
      <c r="G223" s="309">
        <f t="shared" si="90"/>
        <v>72000</v>
      </c>
      <c r="H223" s="309">
        <f t="shared" si="104"/>
        <v>153600</v>
      </c>
      <c r="I223" s="309">
        <f t="shared" si="104"/>
        <v>184320</v>
      </c>
      <c r="J223" s="42" t="s">
        <v>1183</v>
      </c>
      <c r="K223" s="309"/>
      <c r="L223" s="309">
        <f t="shared" si="91"/>
        <v>72000</v>
      </c>
      <c r="M223" s="316">
        <f t="shared" si="95"/>
        <v>86400</v>
      </c>
      <c r="N223" s="316">
        <f t="shared" ref="N223:P223" si="111">+N13*0.8</f>
        <v>103680</v>
      </c>
      <c r="O223" s="316">
        <f t="shared" si="111"/>
        <v>103680</v>
      </c>
      <c r="P223" s="316">
        <f t="shared" si="111"/>
        <v>120960</v>
      </c>
      <c r="Q223" s="316">
        <f t="shared" si="95"/>
        <v>8640</v>
      </c>
      <c r="R223" s="107"/>
      <c r="S223" s="77">
        <v>25000</v>
      </c>
      <c r="T223" s="110">
        <v>60000</v>
      </c>
      <c r="U223" s="110"/>
      <c r="V223" s="110">
        <v>3000</v>
      </c>
      <c r="W223" s="320"/>
      <c r="X223" s="110">
        <v>2000</v>
      </c>
      <c r="Y223" s="113">
        <v>2000</v>
      </c>
      <c r="Z223" s="363">
        <f t="shared" ref="Z223:AL223" si="112">+Z13*0.8</f>
        <v>10080</v>
      </c>
      <c r="AA223" s="364">
        <f t="shared" si="112"/>
        <v>40320</v>
      </c>
      <c r="AB223" s="364">
        <f t="shared" si="112"/>
        <v>20160</v>
      </c>
      <c r="AC223" s="364">
        <f t="shared" si="112"/>
        <v>40320</v>
      </c>
      <c r="AD223" s="364">
        <f t="shared" si="112"/>
        <v>20160</v>
      </c>
      <c r="AE223" s="364">
        <f t="shared" si="112"/>
        <v>40320</v>
      </c>
      <c r="AF223" s="364">
        <f t="shared" si="112"/>
        <v>40320</v>
      </c>
      <c r="AG223" s="365">
        <f t="shared" si="112"/>
        <v>40320</v>
      </c>
      <c r="AH223" s="75">
        <v>180000</v>
      </c>
      <c r="AI223" s="75">
        <v>360000</v>
      </c>
      <c r="AJ223" s="76">
        <v>60000</v>
      </c>
      <c r="AK223" s="366">
        <f t="shared" si="112"/>
        <v>20160</v>
      </c>
      <c r="AL223" s="364">
        <f t="shared" si="112"/>
        <v>20160</v>
      </c>
      <c r="AM223" s="75">
        <v>150000</v>
      </c>
      <c r="AN223" s="75">
        <v>60000</v>
      </c>
      <c r="AO223" s="364">
        <f t="shared" si="93"/>
        <v>60480</v>
      </c>
      <c r="AP223" s="364">
        <f t="shared" si="93"/>
        <v>40320</v>
      </c>
      <c r="AQ223" s="364">
        <f t="shared" si="93"/>
        <v>20160</v>
      </c>
    </row>
    <row r="224" spans="1:43" ht="14.25" x14ac:dyDescent="0.15">
      <c r="A224" s="343"/>
      <c r="B224" s="105" t="s">
        <v>68</v>
      </c>
      <c r="C224" s="309">
        <f t="shared" ref="C224:G224" si="113">+C14*0.8</f>
        <v>129600</v>
      </c>
      <c r="D224" s="309">
        <f t="shared" si="113"/>
        <v>96000</v>
      </c>
      <c r="E224" s="309">
        <f t="shared" si="113"/>
        <v>96000</v>
      </c>
      <c r="F224" s="309">
        <f t="shared" si="113"/>
        <v>96000</v>
      </c>
      <c r="G224" s="309">
        <f t="shared" si="113"/>
        <v>96000</v>
      </c>
      <c r="H224" s="309">
        <f t="shared" si="104"/>
        <v>172800</v>
      </c>
      <c r="I224" s="309">
        <f t="shared" si="104"/>
        <v>207360</v>
      </c>
      <c r="J224" s="42" t="s">
        <v>1183</v>
      </c>
      <c r="K224" s="309"/>
      <c r="L224" s="309">
        <f t="shared" si="91"/>
        <v>105600</v>
      </c>
      <c r="M224" s="316">
        <f t="shared" si="95"/>
        <v>126400</v>
      </c>
      <c r="N224" s="316">
        <f t="shared" ref="N224:P224" si="114">+N14*0.8</f>
        <v>151680</v>
      </c>
      <c r="O224" s="316">
        <f t="shared" si="114"/>
        <v>151680</v>
      </c>
      <c r="P224" s="316">
        <f t="shared" si="114"/>
        <v>176960</v>
      </c>
      <c r="Q224" s="316">
        <f t="shared" si="95"/>
        <v>12640</v>
      </c>
      <c r="R224" s="107"/>
      <c r="S224" s="77">
        <v>25000</v>
      </c>
      <c r="T224" s="110">
        <v>60000</v>
      </c>
      <c r="U224" s="110"/>
      <c r="V224" s="110">
        <v>3000</v>
      </c>
      <c r="W224" s="320"/>
      <c r="X224" s="110">
        <v>2000</v>
      </c>
      <c r="Y224" s="113">
        <v>2000</v>
      </c>
      <c r="Z224" s="363">
        <f t="shared" ref="Z224:AL224" si="115">+Z14*0.8</f>
        <v>12960</v>
      </c>
      <c r="AA224" s="364">
        <f t="shared" si="115"/>
        <v>51840</v>
      </c>
      <c r="AB224" s="364">
        <f t="shared" si="115"/>
        <v>25920</v>
      </c>
      <c r="AC224" s="364">
        <f t="shared" si="115"/>
        <v>51840</v>
      </c>
      <c r="AD224" s="364">
        <f t="shared" si="115"/>
        <v>25920</v>
      </c>
      <c r="AE224" s="364">
        <f t="shared" si="115"/>
        <v>51840</v>
      </c>
      <c r="AF224" s="364">
        <f t="shared" si="115"/>
        <v>51840</v>
      </c>
      <c r="AG224" s="365">
        <f t="shared" si="115"/>
        <v>51840</v>
      </c>
      <c r="AH224" s="78">
        <v>180000</v>
      </c>
      <c r="AI224" s="78">
        <v>360000</v>
      </c>
      <c r="AJ224" s="79">
        <v>60000</v>
      </c>
      <c r="AK224" s="366">
        <f t="shared" si="115"/>
        <v>25920</v>
      </c>
      <c r="AL224" s="364">
        <f t="shared" si="115"/>
        <v>25920</v>
      </c>
      <c r="AM224" s="75">
        <v>150000</v>
      </c>
      <c r="AN224" s="75">
        <v>60000</v>
      </c>
      <c r="AO224" s="364">
        <f t="shared" si="93"/>
        <v>77760</v>
      </c>
      <c r="AP224" s="364">
        <f t="shared" si="93"/>
        <v>51840</v>
      </c>
      <c r="AQ224" s="364">
        <f t="shared" si="93"/>
        <v>25920</v>
      </c>
    </row>
    <row r="225" spans="1:43" ht="14.25" x14ac:dyDescent="0.15">
      <c r="A225" s="343"/>
      <c r="B225" s="105" t="s">
        <v>69</v>
      </c>
      <c r="C225" s="309">
        <f t="shared" ref="C225:G226" si="116">+C15*0.8</f>
        <v>168000</v>
      </c>
      <c r="D225" s="309">
        <f t="shared" si="116"/>
        <v>105600</v>
      </c>
      <c r="E225" s="309">
        <f t="shared" si="116"/>
        <v>105600</v>
      </c>
      <c r="F225" s="309">
        <f t="shared" si="116"/>
        <v>105600</v>
      </c>
      <c r="G225" s="309">
        <f t="shared" si="116"/>
        <v>105600</v>
      </c>
      <c r="H225" s="309">
        <f t="shared" si="104"/>
        <v>192000</v>
      </c>
      <c r="I225" s="309">
        <f t="shared" si="104"/>
        <v>230400</v>
      </c>
      <c r="J225" s="42" t="s">
        <v>1183</v>
      </c>
      <c r="K225" s="309"/>
      <c r="L225" s="309">
        <f t="shared" si="91"/>
        <v>124800</v>
      </c>
      <c r="M225" s="316">
        <f t="shared" si="95"/>
        <v>149600</v>
      </c>
      <c r="N225" s="316">
        <f t="shared" ref="N225:P225" si="117">+N15*0.8</f>
        <v>179520</v>
      </c>
      <c r="O225" s="316">
        <f t="shared" si="117"/>
        <v>179520</v>
      </c>
      <c r="P225" s="316">
        <f t="shared" si="117"/>
        <v>209440</v>
      </c>
      <c r="Q225" s="316">
        <f t="shared" si="95"/>
        <v>14960</v>
      </c>
      <c r="R225" s="107"/>
      <c r="S225" s="77">
        <v>25000</v>
      </c>
      <c r="T225" s="110">
        <v>60000</v>
      </c>
      <c r="U225" s="110"/>
      <c r="V225" s="110">
        <v>3000</v>
      </c>
      <c r="W225" s="320"/>
      <c r="X225" s="110">
        <v>2000</v>
      </c>
      <c r="Y225" s="113">
        <v>2000</v>
      </c>
      <c r="Z225" s="363">
        <f t="shared" ref="Z225:AL225" si="118">+Z15*0.8</f>
        <v>16800</v>
      </c>
      <c r="AA225" s="364">
        <f t="shared" si="118"/>
        <v>67200</v>
      </c>
      <c r="AB225" s="364">
        <f t="shared" si="118"/>
        <v>33600</v>
      </c>
      <c r="AC225" s="364">
        <f t="shared" si="118"/>
        <v>67200</v>
      </c>
      <c r="AD225" s="364">
        <f t="shared" si="118"/>
        <v>33600</v>
      </c>
      <c r="AE225" s="364">
        <f t="shared" si="118"/>
        <v>67200</v>
      </c>
      <c r="AF225" s="364">
        <f t="shared" si="118"/>
        <v>67200</v>
      </c>
      <c r="AG225" s="365">
        <f t="shared" si="118"/>
        <v>67200</v>
      </c>
      <c r="AH225" s="75">
        <v>180000</v>
      </c>
      <c r="AI225" s="75">
        <v>360000</v>
      </c>
      <c r="AJ225" s="76">
        <v>60000</v>
      </c>
      <c r="AK225" s="366">
        <f t="shared" si="118"/>
        <v>33600</v>
      </c>
      <c r="AL225" s="364">
        <f t="shared" si="118"/>
        <v>33600</v>
      </c>
      <c r="AM225" s="75">
        <v>150000</v>
      </c>
      <c r="AN225" s="75">
        <v>60000</v>
      </c>
      <c r="AO225" s="364">
        <f t="shared" si="93"/>
        <v>100800</v>
      </c>
      <c r="AP225" s="364">
        <f t="shared" si="93"/>
        <v>67200</v>
      </c>
      <c r="AQ225" s="364">
        <f t="shared" si="93"/>
        <v>33600</v>
      </c>
    </row>
    <row r="226" spans="1:43" ht="14.25" x14ac:dyDescent="0.15">
      <c r="A226" s="343"/>
      <c r="B226" s="105" t="s">
        <v>70</v>
      </c>
      <c r="C226" s="309">
        <f t="shared" si="116"/>
        <v>201600</v>
      </c>
      <c r="D226" s="309">
        <f t="shared" si="116"/>
        <v>139200</v>
      </c>
      <c r="E226" s="309">
        <f t="shared" si="116"/>
        <v>139200</v>
      </c>
      <c r="F226" s="309">
        <f t="shared" si="116"/>
        <v>139200</v>
      </c>
      <c r="G226" s="309">
        <f t="shared" si="116"/>
        <v>139200</v>
      </c>
      <c r="H226" s="309">
        <f t="shared" si="104"/>
        <v>211200</v>
      </c>
      <c r="I226" s="309">
        <f t="shared" si="104"/>
        <v>253440</v>
      </c>
      <c r="J226" s="42" t="s">
        <v>1183</v>
      </c>
      <c r="K226" s="309"/>
      <c r="L226" s="309">
        <f t="shared" si="91"/>
        <v>172800</v>
      </c>
      <c r="M226" s="316">
        <f t="shared" si="95"/>
        <v>207200</v>
      </c>
      <c r="N226" s="316">
        <f t="shared" ref="N226:P226" si="119">+N16*0.8</f>
        <v>248640</v>
      </c>
      <c r="O226" s="316">
        <f t="shared" si="119"/>
        <v>248640</v>
      </c>
      <c r="P226" s="316">
        <f t="shared" si="119"/>
        <v>290080</v>
      </c>
      <c r="Q226" s="316">
        <f t="shared" si="95"/>
        <v>20720</v>
      </c>
      <c r="R226" s="107"/>
      <c r="S226" s="77">
        <v>25000</v>
      </c>
      <c r="T226" s="110">
        <v>60000</v>
      </c>
      <c r="U226" s="110"/>
      <c r="V226" s="110">
        <v>3000</v>
      </c>
      <c r="W226" s="320"/>
      <c r="X226" s="110">
        <v>2000</v>
      </c>
      <c r="Y226" s="113">
        <v>2000</v>
      </c>
      <c r="Z226" s="363">
        <f t="shared" ref="Z226:AL226" si="120">+Z16*0.8</f>
        <v>20160</v>
      </c>
      <c r="AA226" s="364">
        <f t="shared" si="120"/>
        <v>80640</v>
      </c>
      <c r="AB226" s="364">
        <f t="shared" si="120"/>
        <v>40320</v>
      </c>
      <c r="AC226" s="364">
        <f t="shared" si="120"/>
        <v>80640</v>
      </c>
      <c r="AD226" s="364">
        <f t="shared" si="120"/>
        <v>40320</v>
      </c>
      <c r="AE226" s="364">
        <f t="shared" si="120"/>
        <v>80640</v>
      </c>
      <c r="AF226" s="364">
        <f t="shared" si="120"/>
        <v>80640</v>
      </c>
      <c r="AG226" s="365">
        <f t="shared" si="120"/>
        <v>80640</v>
      </c>
      <c r="AH226" s="78">
        <v>180000</v>
      </c>
      <c r="AI226" s="78">
        <v>360000</v>
      </c>
      <c r="AJ226" s="79">
        <v>60000</v>
      </c>
      <c r="AK226" s="366">
        <f t="shared" si="120"/>
        <v>40320</v>
      </c>
      <c r="AL226" s="364">
        <f t="shared" si="120"/>
        <v>40320</v>
      </c>
      <c r="AM226" s="75">
        <v>150000</v>
      </c>
      <c r="AN226" s="75">
        <v>60000</v>
      </c>
      <c r="AO226" s="364">
        <f t="shared" si="93"/>
        <v>120960</v>
      </c>
      <c r="AP226" s="364">
        <f t="shared" si="93"/>
        <v>80640</v>
      </c>
      <c r="AQ226" s="364">
        <f t="shared" si="93"/>
        <v>40320</v>
      </c>
    </row>
    <row r="227" spans="1:43" ht="14.25" x14ac:dyDescent="0.15">
      <c r="A227" s="343"/>
      <c r="B227" s="105" t="s">
        <v>71</v>
      </c>
      <c r="C227" s="309">
        <f t="shared" ref="C227:G234" si="121">+C19*0.8</f>
        <v>280000</v>
      </c>
      <c r="D227" s="309">
        <f t="shared" si="121"/>
        <v>153600</v>
      </c>
      <c r="E227" s="309">
        <f t="shared" si="121"/>
        <v>153600</v>
      </c>
      <c r="F227" s="309">
        <f t="shared" si="121"/>
        <v>153600</v>
      </c>
      <c r="G227" s="309">
        <f t="shared" si="121"/>
        <v>153600</v>
      </c>
      <c r="H227" s="309">
        <f t="shared" ref="H227:I239" si="122">+H19*0.8</f>
        <v>230400</v>
      </c>
      <c r="I227" s="309">
        <f t="shared" si="122"/>
        <v>276480</v>
      </c>
      <c r="J227" s="42" t="s">
        <v>1183</v>
      </c>
      <c r="K227" s="309"/>
      <c r="L227" s="309">
        <f t="shared" ref="L227:L239" si="123">+L19*0.8</f>
        <v>211200</v>
      </c>
      <c r="M227" s="316">
        <f t="shared" ref="M227:Q239" si="124">+M19*0.8</f>
        <v>253600</v>
      </c>
      <c r="N227" s="316">
        <f t="shared" ref="N227:P227" si="125">+N19*0.8</f>
        <v>304320</v>
      </c>
      <c r="O227" s="316">
        <f t="shared" si="125"/>
        <v>304320</v>
      </c>
      <c r="P227" s="316">
        <f t="shared" si="125"/>
        <v>355040</v>
      </c>
      <c r="Q227" s="316">
        <f t="shared" si="124"/>
        <v>25360</v>
      </c>
      <c r="R227" s="107"/>
      <c r="S227" s="77">
        <v>25000</v>
      </c>
      <c r="T227" s="110">
        <v>60000</v>
      </c>
      <c r="U227" s="110"/>
      <c r="V227" s="110">
        <v>3000</v>
      </c>
      <c r="W227" s="320"/>
      <c r="X227" s="110">
        <v>2000</v>
      </c>
      <c r="Y227" s="113">
        <v>2000</v>
      </c>
      <c r="Z227" s="363">
        <f t="shared" ref="Z227:AL227" si="126">+Z19*0.8</f>
        <v>28000</v>
      </c>
      <c r="AA227" s="364">
        <f t="shared" si="126"/>
        <v>112000</v>
      </c>
      <c r="AB227" s="364">
        <f t="shared" si="126"/>
        <v>56000</v>
      </c>
      <c r="AC227" s="364">
        <f t="shared" si="126"/>
        <v>112000</v>
      </c>
      <c r="AD227" s="364">
        <f t="shared" si="126"/>
        <v>56000</v>
      </c>
      <c r="AE227" s="364">
        <f t="shared" si="126"/>
        <v>112000</v>
      </c>
      <c r="AF227" s="364">
        <f t="shared" si="126"/>
        <v>112000</v>
      </c>
      <c r="AG227" s="365">
        <f t="shared" si="126"/>
        <v>112000</v>
      </c>
      <c r="AH227" s="75">
        <v>180000</v>
      </c>
      <c r="AI227" s="75">
        <v>360000</v>
      </c>
      <c r="AJ227" s="76">
        <v>60000</v>
      </c>
      <c r="AK227" s="366">
        <f t="shared" si="126"/>
        <v>56000</v>
      </c>
      <c r="AL227" s="364">
        <f t="shared" si="126"/>
        <v>56000</v>
      </c>
      <c r="AM227" s="75">
        <v>150000</v>
      </c>
      <c r="AN227" s="75">
        <v>60000</v>
      </c>
      <c r="AO227" s="364">
        <f t="shared" ref="AO227:AQ239" si="127">+AO19*0.8</f>
        <v>168000</v>
      </c>
      <c r="AP227" s="364">
        <f t="shared" si="127"/>
        <v>112000</v>
      </c>
      <c r="AQ227" s="364">
        <f t="shared" si="127"/>
        <v>56000</v>
      </c>
    </row>
    <row r="228" spans="1:43" ht="14.25" x14ac:dyDescent="0.15">
      <c r="A228" s="343"/>
      <c r="B228" s="105" t="s">
        <v>72</v>
      </c>
      <c r="C228" s="309">
        <f t="shared" si="121"/>
        <v>336000</v>
      </c>
      <c r="D228" s="309">
        <f t="shared" si="121"/>
        <v>179200</v>
      </c>
      <c r="E228" s="309">
        <f t="shared" si="121"/>
        <v>179200</v>
      </c>
      <c r="F228" s="309">
        <f t="shared" si="121"/>
        <v>179200</v>
      </c>
      <c r="G228" s="309">
        <f t="shared" si="121"/>
        <v>179200</v>
      </c>
      <c r="H228" s="309">
        <f t="shared" si="122"/>
        <v>249600</v>
      </c>
      <c r="I228" s="309">
        <f t="shared" si="122"/>
        <v>299520</v>
      </c>
      <c r="J228" s="42" t="s">
        <v>1183</v>
      </c>
      <c r="K228" s="309"/>
      <c r="L228" s="309">
        <f t="shared" si="123"/>
        <v>240000</v>
      </c>
      <c r="M228" s="316">
        <f t="shared" si="124"/>
        <v>288000</v>
      </c>
      <c r="N228" s="316">
        <f t="shared" ref="N228:P228" si="128">+N20*0.8</f>
        <v>345600</v>
      </c>
      <c r="O228" s="316">
        <f t="shared" si="128"/>
        <v>345600</v>
      </c>
      <c r="P228" s="316">
        <f t="shared" si="128"/>
        <v>403200</v>
      </c>
      <c r="Q228" s="316">
        <f t="shared" si="124"/>
        <v>28800</v>
      </c>
      <c r="R228" s="107"/>
      <c r="S228" s="77">
        <v>25000</v>
      </c>
      <c r="T228" s="110">
        <v>60000</v>
      </c>
      <c r="U228" s="110"/>
      <c r="V228" s="110">
        <v>3000</v>
      </c>
      <c r="W228" s="320"/>
      <c r="X228" s="110">
        <v>2000</v>
      </c>
      <c r="Y228" s="113">
        <v>2000</v>
      </c>
      <c r="Z228" s="363">
        <f t="shared" ref="Z228:AL228" si="129">+Z20*0.8</f>
        <v>33600</v>
      </c>
      <c r="AA228" s="364">
        <f t="shared" si="129"/>
        <v>134400</v>
      </c>
      <c r="AB228" s="364">
        <f t="shared" si="129"/>
        <v>67200</v>
      </c>
      <c r="AC228" s="364">
        <f t="shared" si="129"/>
        <v>134400</v>
      </c>
      <c r="AD228" s="364">
        <f t="shared" si="129"/>
        <v>67200</v>
      </c>
      <c r="AE228" s="364">
        <f t="shared" si="129"/>
        <v>134400</v>
      </c>
      <c r="AF228" s="364">
        <f t="shared" si="129"/>
        <v>134400</v>
      </c>
      <c r="AG228" s="365">
        <f t="shared" si="129"/>
        <v>134400</v>
      </c>
      <c r="AH228" s="78">
        <v>180000</v>
      </c>
      <c r="AI228" s="78">
        <v>360000</v>
      </c>
      <c r="AJ228" s="79">
        <v>60000</v>
      </c>
      <c r="AK228" s="366">
        <f t="shared" si="129"/>
        <v>67200</v>
      </c>
      <c r="AL228" s="364">
        <f t="shared" si="129"/>
        <v>67200</v>
      </c>
      <c r="AM228" s="75">
        <v>150000</v>
      </c>
      <c r="AN228" s="75">
        <v>60000</v>
      </c>
      <c r="AO228" s="364">
        <f t="shared" si="127"/>
        <v>201600</v>
      </c>
      <c r="AP228" s="364">
        <f t="shared" si="127"/>
        <v>134400</v>
      </c>
      <c r="AQ228" s="364">
        <f t="shared" si="127"/>
        <v>67200</v>
      </c>
    </row>
    <row r="229" spans="1:43" ht="14.25" x14ac:dyDescent="0.15">
      <c r="A229" s="343"/>
      <c r="B229" s="105" t="s">
        <v>73</v>
      </c>
      <c r="C229" s="309">
        <f t="shared" si="121"/>
        <v>384000</v>
      </c>
      <c r="D229" s="309">
        <f t="shared" si="121"/>
        <v>211200</v>
      </c>
      <c r="E229" s="309">
        <f t="shared" si="121"/>
        <v>211200</v>
      </c>
      <c r="F229" s="309">
        <f t="shared" si="121"/>
        <v>211200</v>
      </c>
      <c r="G229" s="309">
        <f t="shared" si="121"/>
        <v>211200</v>
      </c>
      <c r="H229" s="309">
        <f t="shared" si="122"/>
        <v>278400</v>
      </c>
      <c r="I229" s="309">
        <f t="shared" si="122"/>
        <v>334080</v>
      </c>
      <c r="J229" s="42" t="s">
        <v>1183</v>
      </c>
      <c r="K229" s="309"/>
      <c r="L229" s="309">
        <f t="shared" si="123"/>
        <v>288000</v>
      </c>
      <c r="M229" s="316">
        <f t="shared" si="124"/>
        <v>345600</v>
      </c>
      <c r="N229" s="316">
        <f t="shared" ref="N229:P229" si="130">+N21*0.8</f>
        <v>414720</v>
      </c>
      <c r="O229" s="316">
        <f t="shared" si="130"/>
        <v>414720</v>
      </c>
      <c r="P229" s="316">
        <f t="shared" si="130"/>
        <v>483840</v>
      </c>
      <c r="Q229" s="316">
        <f t="shared" si="124"/>
        <v>34560</v>
      </c>
      <c r="R229" s="107"/>
      <c r="S229" s="77">
        <v>25000</v>
      </c>
      <c r="T229" s="110">
        <v>60000</v>
      </c>
      <c r="U229" s="110"/>
      <c r="V229" s="110">
        <v>3000</v>
      </c>
      <c r="W229" s="320"/>
      <c r="X229" s="110">
        <v>2000</v>
      </c>
      <c r="Y229" s="113">
        <v>2000</v>
      </c>
      <c r="Z229" s="363">
        <f t="shared" ref="Z229:AL229" si="131">+Z21*0.8</f>
        <v>38400</v>
      </c>
      <c r="AA229" s="364">
        <f t="shared" si="131"/>
        <v>153600</v>
      </c>
      <c r="AB229" s="364">
        <f t="shared" si="131"/>
        <v>76800</v>
      </c>
      <c r="AC229" s="364">
        <f t="shared" si="131"/>
        <v>153600</v>
      </c>
      <c r="AD229" s="364">
        <f t="shared" si="131"/>
        <v>76800</v>
      </c>
      <c r="AE229" s="364">
        <f t="shared" si="131"/>
        <v>153600</v>
      </c>
      <c r="AF229" s="364">
        <f t="shared" si="131"/>
        <v>153600</v>
      </c>
      <c r="AG229" s="365">
        <f t="shared" si="131"/>
        <v>153600</v>
      </c>
      <c r="AH229" s="75">
        <v>180000</v>
      </c>
      <c r="AI229" s="75">
        <v>360000</v>
      </c>
      <c r="AJ229" s="76">
        <v>60000</v>
      </c>
      <c r="AK229" s="366">
        <f t="shared" si="131"/>
        <v>76800</v>
      </c>
      <c r="AL229" s="364">
        <f t="shared" si="131"/>
        <v>76800</v>
      </c>
      <c r="AM229" s="75">
        <v>150000</v>
      </c>
      <c r="AN229" s="75">
        <v>60000</v>
      </c>
      <c r="AO229" s="364">
        <f t="shared" si="127"/>
        <v>230400</v>
      </c>
      <c r="AP229" s="364">
        <f t="shared" si="127"/>
        <v>153600</v>
      </c>
      <c r="AQ229" s="364">
        <f t="shared" si="127"/>
        <v>76800</v>
      </c>
    </row>
    <row r="230" spans="1:43" ht="14.25" x14ac:dyDescent="0.15">
      <c r="A230" s="343"/>
      <c r="B230" s="105" t="s">
        <v>74</v>
      </c>
      <c r="C230" s="309">
        <f t="shared" si="121"/>
        <v>432000</v>
      </c>
      <c r="D230" s="309">
        <f t="shared" si="121"/>
        <v>254400</v>
      </c>
      <c r="E230" s="309">
        <f t="shared" si="121"/>
        <v>254400</v>
      </c>
      <c r="F230" s="309">
        <f t="shared" si="121"/>
        <v>254400</v>
      </c>
      <c r="G230" s="309">
        <f t="shared" si="121"/>
        <v>254400</v>
      </c>
      <c r="H230" s="309">
        <f t="shared" si="122"/>
        <v>307200</v>
      </c>
      <c r="I230" s="309">
        <f t="shared" si="122"/>
        <v>368640</v>
      </c>
      <c r="J230" s="42" t="s">
        <v>1183</v>
      </c>
      <c r="K230" s="309"/>
      <c r="L230" s="309">
        <f t="shared" si="123"/>
        <v>336000</v>
      </c>
      <c r="M230" s="316">
        <f t="shared" si="124"/>
        <v>403200</v>
      </c>
      <c r="N230" s="316">
        <f t="shared" ref="N230:P230" si="132">+N22*0.8</f>
        <v>483840</v>
      </c>
      <c r="O230" s="316">
        <f t="shared" si="132"/>
        <v>483840</v>
      </c>
      <c r="P230" s="316">
        <f t="shared" si="132"/>
        <v>564480</v>
      </c>
      <c r="Q230" s="316">
        <f t="shared" si="124"/>
        <v>40320</v>
      </c>
      <c r="R230" s="107"/>
      <c r="S230" s="77">
        <v>25000</v>
      </c>
      <c r="T230" s="110">
        <v>60000</v>
      </c>
      <c r="U230" s="110"/>
      <c r="V230" s="110">
        <v>3000</v>
      </c>
      <c r="W230" s="320"/>
      <c r="X230" s="110">
        <v>2000</v>
      </c>
      <c r="Y230" s="113">
        <v>2000</v>
      </c>
      <c r="Z230" s="363">
        <f t="shared" ref="Z230:AL230" si="133">+Z22*0.8</f>
        <v>43200</v>
      </c>
      <c r="AA230" s="364">
        <f t="shared" si="133"/>
        <v>172800</v>
      </c>
      <c r="AB230" s="364">
        <f t="shared" si="133"/>
        <v>86400</v>
      </c>
      <c r="AC230" s="364">
        <f t="shared" si="133"/>
        <v>172800</v>
      </c>
      <c r="AD230" s="364">
        <f t="shared" si="133"/>
        <v>86400</v>
      </c>
      <c r="AE230" s="364">
        <f t="shared" si="133"/>
        <v>172800</v>
      </c>
      <c r="AF230" s="364">
        <f t="shared" si="133"/>
        <v>172800</v>
      </c>
      <c r="AG230" s="365">
        <f t="shared" si="133"/>
        <v>172800</v>
      </c>
      <c r="AH230" s="78">
        <v>180000</v>
      </c>
      <c r="AI230" s="78">
        <v>360000</v>
      </c>
      <c r="AJ230" s="79">
        <v>60000</v>
      </c>
      <c r="AK230" s="366">
        <f t="shared" si="133"/>
        <v>86400</v>
      </c>
      <c r="AL230" s="364">
        <f t="shared" si="133"/>
        <v>86400</v>
      </c>
      <c r="AM230" s="75">
        <v>150000</v>
      </c>
      <c r="AN230" s="75">
        <v>60000</v>
      </c>
      <c r="AO230" s="364">
        <f t="shared" si="127"/>
        <v>259200</v>
      </c>
      <c r="AP230" s="364">
        <f t="shared" si="127"/>
        <v>172800</v>
      </c>
      <c r="AQ230" s="364">
        <f t="shared" si="127"/>
        <v>86400</v>
      </c>
    </row>
    <row r="231" spans="1:43" ht="14.25" x14ac:dyDescent="0.15">
      <c r="A231" s="343"/>
      <c r="B231" s="105" t="s">
        <v>75</v>
      </c>
      <c r="C231" s="309">
        <f t="shared" si="121"/>
        <v>480000</v>
      </c>
      <c r="D231" s="309">
        <f t="shared" si="121"/>
        <v>264000</v>
      </c>
      <c r="E231" s="309">
        <f t="shared" si="121"/>
        <v>264000</v>
      </c>
      <c r="F231" s="309">
        <f t="shared" si="121"/>
        <v>264000</v>
      </c>
      <c r="G231" s="309">
        <f t="shared" si="121"/>
        <v>264000</v>
      </c>
      <c r="H231" s="309">
        <f t="shared" si="122"/>
        <v>336000</v>
      </c>
      <c r="I231" s="309">
        <f t="shared" si="122"/>
        <v>403200</v>
      </c>
      <c r="J231" s="42" t="s">
        <v>1183</v>
      </c>
      <c r="K231" s="309"/>
      <c r="L231" s="309">
        <f t="shared" si="123"/>
        <v>384000</v>
      </c>
      <c r="M231" s="316">
        <f t="shared" si="124"/>
        <v>460800</v>
      </c>
      <c r="N231" s="316">
        <f t="shared" ref="N231:P231" si="134">+N23*0.8</f>
        <v>552960</v>
      </c>
      <c r="O231" s="316">
        <f t="shared" si="134"/>
        <v>552960</v>
      </c>
      <c r="P231" s="316">
        <f t="shared" si="134"/>
        <v>645120</v>
      </c>
      <c r="Q231" s="316">
        <f t="shared" si="124"/>
        <v>46080</v>
      </c>
      <c r="R231" s="107"/>
      <c r="S231" s="77">
        <v>25000</v>
      </c>
      <c r="T231" s="110">
        <v>60000</v>
      </c>
      <c r="U231" s="110"/>
      <c r="V231" s="110">
        <v>3000</v>
      </c>
      <c r="W231" s="320"/>
      <c r="X231" s="110">
        <v>2000</v>
      </c>
      <c r="Y231" s="113">
        <v>2000</v>
      </c>
      <c r="Z231" s="363">
        <f t="shared" ref="Z231:AL231" si="135">+Z23*0.8</f>
        <v>48000</v>
      </c>
      <c r="AA231" s="364">
        <f t="shared" si="135"/>
        <v>192000</v>
      </c>
      <c r="AB231" s="364">
        <f t="shared" si="135"/>
        <v>96000</v>
      </c>
      <c r="AC231" s="364">
        <f t="shared" si="135"/>
        <v>192000</v>
      </c>
      <c r="AD231" s="364">
        <f t="shared" si="135"/>
        <v>96000</v>
      </c>
      <c r="AE231" s="364">
        <f t="shared" si="135"/>
        <v>192000</v>
      </c>
      <c r="AF231" s="364">
        <f t="shared" si="135"/>
        <v>192000</v>
      </c>
      <c r="AG231" s="365">
        <f t="shared" si="135"/>
        <v>192000</v>
      </c>
      <c r="AH231" s="75">
        <v>180000</v>
      </c>
      <c r="AI231" s="75">
        <v>360000</v>
      </c>
      <c r="AJ231" s="76">
        <v>60000</v>
      </c>
      <c r="AK231" s="366">
        <f t="shared" si="135"/>
        <v>96000</v>
      </c>
      <c r="AL231" s="364">
        <f t="shared" si="135"/>
        <v>96000</v>
      </c>
      <c r="AM231" s="75">
        <v>150000</v>
      </c>
      <c r="AN231" s="75">
        <v>60000</v>
      </c>
      <c r="AO231" s="364">
        <f t="shared" si="127"/>
        <v>288000</v>
      </c>
      <c r="AP231" s="364">
        <f t="shared" si="127"/>
        <v>192000</v>
      </c>
      <c r="AQ231" s="364">
        <f t="shared" si="127"/>
        <v>96000</v>
      </c>
    </row>
    <row r="232" spans="1:43" ht="14.25" x14ac:dyDescent="0.15">
      <c r="A232" s="343"/>
      <c r="B232" s="105" t="s">
        <v>76</v>
      </c>
      <c r="C232" s="309">
        <f t="shared" si="121"/>
        <v>576000</v>
      </c>
      <c r="D232" s="309">
        <f t="shared" si="121"/>
        <v>307200</v>
      </c>
      <c r="E232" s="309">
        <f t="shared" si="121"/>
        <v>307200</v>
      </c>
      <c r="F232" s="309">
        <f t="shared" si="121"/>
        <v>307200</v>
      </c>
      <c r="G232" s="309">
        <f t="shared" si="121"/>
        <v>307200</v>
      </c>
      <c r="H232" s="309">
        <f t="shared" si="122"/>
        <v>364800</v>
      </c>
      <c r="I232" s="309">
        <f t="shared" si="122"/>
        <v>437760</v>
      </c>
      <c r="J232" s="42" t="s">
        <v>1183</v>
      </c>
      <c r="K232" s="309"/>
      <c r="L232" s="309">
        <f t="shared" si="123"/>
        <v>432000</v>
      </c>
      <c r="M232" s="316">
        <f t="shared" si="124"/>
        <v>518400</v>
      </c>
      <c r="N232" s="316">
        <f t="shared" ref="N232:P232" si="136">+N24*0.8</f>
        <v>622080</v>
      </c>
      <c r="O232" s="316">
        <f t="shared" si="136"/>
        <v>622080</v>
      </c>
      <c r="P232" s="316">
        <f t="shared" si="136"/>
        <v>725760</v>
      </c>
      <c r="Q232" s="316">
        <f t="shared" si="124"/>
        <v>51840</v>
      </c>
      <c r="R232" s="107"/>
      <c r="S232" s="77">
        <v>25000</v>
      </c>
      <c r="T232" s="110">
        <v>60000</v>
      </c>
      <c r="U232" s="110"/>
      <c r="V232" s="110">
        <v>3000</v>
      </c>
      <c r="W232" s="320"/>
      <c r="X232" s="110">
        <v>2000</v>
      </c>
      <c r="Y232" s="113">
        <v>2000</v>
      </c>
      <c r="Z232" s="363">
        <f t="shared" ref="Z232:AL232" si="137">+Z24*0.8</f>
        <v>57600</v>
      </c>
      <c r="AA232" s="364">
        <f t="shared" si="137"/>
        <v>230400</v>
      </c>
      <c r="AB232" s="364">
        <f t="shared" si="137"/>
        <v>115200</v>
      </c>
      <c r="AC232" s="364">
        <f t="shared" si="137"/>
        <v>230400</v>
      </c>
      <c r="AD232" s="364">
        <f t="shared" si="137"/>
        <v>115200</v>
      </c>
      <c r="AE232" s="364">
        <f t="shared" si="137"/>
        <v>230400</v>
      </c>
      <c r="AF232" s="364">
        <f t="shared" si="137"/>
        <v>230400</v>
      </c>
      <c r="AG232" s="365">
        <f t="shared" si="137"/>
        <v>230400</v>
      </c>
      <c r="AH232" s="78">
        <v>180000</v>
      </c>
      <c r="AI232" s="78">
        <v>360000</v>
      </c>
      <c r="AJ232" s="79">
        <v>60000</v>
      </c>
      <c r="AK232" s="366">
        <f t="shared" si="137"/>
        <v>115200</v>
      </c>
      <c r="AL232" s="364">
        <f t="shared" si="137"/>
        <v>115200</v>
      </c>
      <c r="AM232" s="75">
        <v>150000</v>
      </c>
      <c r="AN232" s="75">
        <v>60000</v>
      </c>
      <c r="AO232" s="364">
        <f t="shared" si="127"/>
        <v>345600</v>
      </c>
      <c r="AP232" s="364">
        <f t="shared" si="127"/>
        <v>230400</v>
      </c>
      <c r="AQ232" s="364">
        <f t="shared" si="127"/>
        <v>115200</v>
      </c>
    </row>
    <row r="233" spans="1:43" ht="14.25" x14ac:dyDescent="0.15">
      <c r="A233" s="343"/>
      <c r="B233" s="105" t="s">
        <v>937</v>
      </c>
      <c r="C233" s="309">
        <f t="shared" si="121"/>
        <v>672000</v>
      </c>
      <c r="D233" s="309">
        <f t="shared" si="121"/>
        <v>336000</v>
      </c>
      <c r="E233" s="309">
        <f t="shared" si="121"/>
        <v>336000</v>
      </c>
      <c r="F233" s="309">
        <f t="shared" si="121"/>
        <v>336000</v>
      </c>
      <c r="G233" s="309">
        <f t="shared" si="121"/>
        <v>336000</v>
      </c>
      <c r="H233" s="317">
        <f t="shared" si="122"/>
        <v>393600</v>
      </c>
      <c r="I233" s="317">
        <f t="shared" si="122"/>
        <v>472320</v>
      </c>
      <c r="J233" s="42" t="s">
        <v>1183</v>
      </c>
      <c r="K233" s="309"/>
      <c r="L233" s="309">
        <f t="shared" si="123"/>
        <v>480000</v>
      </c>
      <c r="M233" s="316">
        <f t="shared" si="124"/>
        <v>576000</v>
      </c>
      <c r="N233" s="316">
        <f t="shared" ref="N233:P233" si="138">+N25*0.8</f>
        <v>691200</v>
      </c>
      <c r="O233" s="316">
        <f t="shared" si="138"/>
        <v>691200</v>
      </c>
      <c r="P233" s="316">
        <f t="shared" si="138"/>
        <v>806400</v>
      </c>
      <c r="Q233" s="316">
        <f t="shared" si="124"/>
        <v>57600</v>
      </c>
      <c r="R233" s="107"/>
      <c r="S233" s="77">
        <v>25000</v>
      </c>
      <c r="T233" s="110">
        <v>60000</v>
      </c>
      <c r="U233" s="110"/>
      <c r="V233" s="110">
        <v>3000</v>
      </c>
      <c r="W233" s="320"/>
      <c r="X233" s="110">
        <v>2000</v>
      </c>
      <c r="Y233" s="113">
        <v>2000</v>
      </c>
      <c r="Z233" s="363">
        <f t="shared" ref="Z233:AL233" si="139">+Z25*0.8</f>
        <v>67200</v>
      </c>
      <c r="AA233" s="364">
        <f t="shared" si="139"/>
        <v>268800</v>
      </c>
      <c r="AB233" s="364">
        <f t="shared" si="139"/>
        <v>134400</v>
      </c>
      <c r="AC233" s="364">
        <f t="shared" si="139"/>
        <v>268800</v>
      </c>
      <c r="AD233" s="364">
        <f t="shared" si="139"/>
        <v>134400</v>
      </c>
      <c r="AE233" s="364">
        <f t="shared" si="139"/>
        <v>268800</v>
      </c>
      <c r="AF233" s="364">
        <f t="shared" si="139"/>
        <v>268800</v>
      </c>
      <c r="AG233" s="365">
        <f t="shared" si="139"/>
        <v>268800</v>
      </c>
      <c r="AH233" s="75">
        <v>180000</v>
      </c>
      <c r="AI233" s="75">
        <v>360000</v>
      </c>
      <c r="AJ233" s="76">
        <v>60000</v>
      </c>
      <c r="AK233" s="366">
        <f t="shared" si="139"/>
        <v>134400</v>
      </c>
      <c r="AL233" s="364">
        <f t="shared" si="139"/>
        <v>134400</v>
      </c>
      <c r="AM233" s="75">
        <v>150000</v>
      </c>
      <c r="AN233" s="75">
        <v>60000</v>
      </c>
      <c r="AO233" s="364">
        <f t="shared" si="127"/>
        <v>403200</v>
      </c>
      <c r="AP233" s="364">
        <f t="shared" si="127"/>
        <v>268800</v>
      </c>
      <c r="AQ233" s="364">
        <f t="shared" si="127"/>
        <v>134400</v>
      </c>
    </row>
    <row r="234" spans="1:43" ht="14.25" x14ac:dyDescent="0.15">
      <c r="A234" s="343"/>
      <c r="B234" s="105" t="s">
        <v>938</v>
      </c>
      <c r="C234" s="309">
        <f t="shared" si="121"/>
        <v>672000</v>
      </c>
      <c r="D234" s="309">
        <f t="shared" si="121"/>
        <v>336000</v>
      </c>
      <c r="E234" s="309">
        <f t="shared" si="121"/>
        <v>336000</v>
      </c>
      <c r="F234" s="309">
        <f t="shared" si="121"/>
        <v>336000</v>
      </c>
      <c r="G234" s="309">
        <f t="shared" si="121"/>
        <v>336000</v>
      </c>
      <c r="H234" s="317">
        <f t="shared" si="122"/>
        <v>393600</v>
      </c>
      <c r="I234" s="317">
        <f t="shared" si="122"/>
        <v>472320</v>
      </c>
      <c r="J234" s="42" t="s">
        <v>1183</v>
      </c>
      <c r="K234" s="309"/>
      <c r="L234" s="309">
        <f t="shared" si="123"/>
        <v>480000</v>
      </c>
      <c r="M234" s="316">
        <f t="shared" si="124"/>
        <v>576000</v>
      </c>
      <c r="N234" s="316">
        <f t="shared" ref="N234:P234" si="140">+N26*0.8</f>
        <v>691200</v>
      </c>
      <c r="O234" s="316">
        <f t="shared" si="140"/>
        <v>691200</v>
      </c>
      <c r="P234" s="316">
        <f t="shared" si="140"/>
        <v>806400</v>
      </c>
      <c r="Q234" s="316">
        <f t="shared" si="124"/>
        <v>57600</v>
      </c>
      <c r="R234" s="107"/>
      <c r="S234" s="77">
        <v>25000</v>
      </c>
      <c r="T234" s="110">
        <v>60000</v>
      </c>
      <c r="U234" s="110"/>
      <c r="V234" s="110">
        <v>3000</v>
      </c>
      <c r="W234" s="320"/>
      <c r="X234" s="110">
        <v>2000</v>
      </c>
      <c r="Y234" s="113">
        <v>2000</v>
      </c>
      <c r="Z234" s="363">
        <f t="shared" ref="Z234:AL234" si="141">+Z26*0.8</f>
        <v>67200</v>
      </c>
      <c r="AA234" s="364">
        <f t="shared" si="141"/>
        <v>268800</v>
      </c>
      <c r="AB234" s="364">
        <f t="shared" si="141"/>
        <v>134400</v>
      </c>
      <c r="AC234" s="364">
        <f t="shared" si="141"/>
        <v>268800</v>
      </c>
      <c r="AD234" s="364">
        <f t="shared" si="141"/>
        <v>134400</v>
      </c>
      <c r="AE234" s="364">
        <f t="shared" si="141"/>
        <v>268800</v>
      </c>
      <c r="AF234" s="364">
        <f t="shared" si="141"/>
        <v>268800</v>
      </c>
      <c r="AG234" s="365">
        <f t="shared" si="141"/>
        <v>268800</v>
      </c>
      <c r="AH234" s="75">
        <v>180000</v>
      </c>
      <c r="AI234" s="75">
        <v>360000</v>
      </c>
      <c r="AJ234" s="76">
        <v>60000</v>
      </c>
      <c r="AK234" s="366">
        <f t="shared" si="141"/>
        <v>134400</v>
      </c>
      <c r="AL234" s="364">
        <f t="shared" si="141"/>
        <v>134400</v>
      </c>
      <c r="AM234" s="75">
        <v>150000</v>
      </c>
      <c r="AN234" s="75">
        <v>60000</v>
      </c>
      <c r="AO234" s="364">
        <f t="shared" si="127"/>
        <v>403200</v>
      </c>
      <c r="AP234" s="364">
        <f t="shared" si="127"/>
        <v>268800</v>
      </c>
      <c r="AQ234" s="364">
        <f t="shared" si="127"/>
        <v>134400</v>
      </c>
    </row>
    <row r="235" spans="1:43" ht="14.25" x14ac:dyDescent="0.15">
      <c r="A235" s="343"/>
      <c r="B235" s="105" t="s">
        <v>77</v>
      </c>
      <c r="C235" s="309">
        <f t="shared" ref="C235:G239" si="142">+C27*0.8</f>
        <v>768000</v>
      </c>
      <c r="D235" s="309">
        <f t="shared" si="142"/>
        <v>403200</v>
      </c>
      <c r="E235" s="309">
        <f t="shared" si="142"/>
        <v>403200</v>
      </c>
      <c r="F235" s="309">
        <f t="shared" si="142"/>
        <v>403200</v>
      </c>
      <c r="G235" s="309">
        <f t="shared" si="142"/>
        <v>403200</v>
      </c>
      <c r="H235" s="317">
        <f t="shared" si="122"/>
        <v>528000</v>
      </c>
      <c r="I235" s="317">
        <f t="shared" si="122"/>
        <v>633600</v>
      </c>
      <c r="J235" s="42" t="s">
        <v>1183</v>
      </c>
      <c r="K235" s="309"/>
      <c r="L235" s="309">
        <f t="shared" si="123"/>
        <v>576000</v>
      </c>
      <c r="M235" s="316">
        <f t="shared" si="124"/>
        <v>691200</v>
      </c>
      <c r="N235" s="316">
        <f t="shared" ref="N235:P235" si="143">+N27*0.8</f>
        <v>829440</v>
      </c>
      <c r="O235" s="316">
        <f t="shared" si="143"/>
        <v>829440</v>
      </c>
      <c r="P235" s="316">
        <f t="shared" si="143"/>
        <v>967680</v>
      </c>
      <c r="Q235" s="316">
        <f t="shared" si="124"/>
        <v>69120</v>
      </c>
      <c r="R235" s="107"/>
      <c r="S235" s="77">
        <v>25000</v>
      </c>
      <c r="T235" s="110">
        <v>60000</v>
      </c>
      <c r="U235" s="110"/>
      <c r="V235" s="110">
        <v>3000</v>
      </c>
      <c r="W235" s="320"/>
      <c r="X235" s="110">
        <v>2000</v>
      </c>
      <c r="Y235" s="113">
        <v>2000</v>
      </c>
      <c r="Z235" s="363">
        <f t="shared" ref="Z235:AL235" si="144">+Z27*0.8</f>
        <v>76800</v>
      </c>
      <c r="AA235" s="364">
        <f t="shared" si="144"/>
        <v>307200</v>
      </c>
      <c r="AB235" s="364">
        <f t="shared" si="144"/>
        <v>153600</v>
      </c>
      <c r="AC235" s="364">
        <f t="shared" si="144"/>
        <v>307200</v>
      </c>
      <c r="AD235" s="364">
        <f t="shared" si="144"/>
        <v>153600</v>
      </c>
      <c r="AE235" s="364">
        <f t="shared" si="144"/>
        <v>307200</v>
      </c>
      <c r="AF235" s="364">
        <f t="shared" si="144"/>
        <v>307200</v>
      </c>
      <c r="AG235" s="365">
        <f t="shared" si="144"/>
        <v>307200</v>
      </c>
      <c r="AH235" s="78">
        <v>180000</v>
      </c>
      <c r="AI235" s="78">
        <v>360000</v>
      </c>
      <c r="AJ235" s="79">
        <v>60000</v>
      </c>
      <c r="AK235" s="366">
        <f t="shared" si="144"/>
        <v>153600</v>
      </c>
      <c r="AL235" s="364">
        <f t="shared" si="144"/>
        <v>153600</v>
      </c>
      <c r="AM235" s="75">
        <v>150000</v>
      </c>
      <c r="AN235" s="75">
        <v>60000</v>
      </c>
      <c r="AO235" s="364">
        <f t="shared" si="127"/>
        <v>460800</v>
      </c>
      <c r="AP235" s="364">
        <f t="shared" si="127"/>
        <v>307200</v>
      </c>
      <c r="AQ235" s="364">
        <f t="shared" si="127"/>
        <v>153600</v>
      </c>
    </row>
    <row r="236" spans="1:43" ht="14.25" x14ac:dyDescent="0.15">
      <c r="A236" s="343"/>
      <c r="B236" s="105" t="s">
        <v>78</v>
      </c>
      <c r="C236" s="309">
        <f t="shared" si="142"/>
        <v>864000</v>
      </c>
      <c r="D236" s="309">
        <f t="shared" si="142"/>
        <v>460800</v>
      </c>
      <c r="E236" s="309">
        <f t="shared" si="142"/>
        <v>460800</v>
      </c>
      <c r="F236" s="309">
        <f t="shared" si="142"/>
        <v>460800</v>
      </c>
      <c r="G236" s="309">
        <f t="shared" si="142"/>
        <v>460800</v>
      </c>
      <c r="H236" s="317">
        <f t="shared" si="122"/>
        <v>591200</v>
      </c>
      <c r="I236" s="317">
        <f t="shared" si="122"/>
        <v>709440</v>
      </c>
      <c r="J236" s="42" t="s">
        <v>1183</v>
      </c>
      <c r="K236" s="309"/>
      <c r="L236" s="309">
        <f t="shared" si="123"/>
        <v>672000</v>
      </c>
      <c r="M236" s="316">
        <f t="shared" si="124"/>
        <v>806400</v>
      </c>
      <c r="N236" s="316">
        <f t="shared" ref="N236:P236" si="145">+N28*0.8</f>
        <v>967680</v>
      </c>
      <c r="O236" s="316">
        <f t="shared" si="145"/>
        <v>967680</v>
      </c>
      <c r="P236" s="316">
        <f t="shared" si="145"/>
        <v>1128960</v>
      </c>
      <c r="Q236" s="316">
        <f t="shared" si="124"/>
        <v>80640</v>
      </c>
      <c r="R236" s="107"/>
      <c r="S236" s="77">
        <v>25000</v>
      </c>
      <c r="T236" s="110">
        <v>60000</v>
      </c>
      <c r="U236" s="110"/>
      <c r="V236" s="110">
        <v>3000</v>
      </c>
      <c r="W236" s="320"/>
      <c r="X236" s="110">
        <v>2000</v>
      </c>
      <c r="Y236" s="113">
        <v>2000</v>
      </c>
      <c r="Z236" s="363">
        <f t="shared" ref="Z236:AL236" si="146">+Z28*0.8</f>
        <v>86400</v>
      </c>
      <c r="AA236" s="364">
        <f t="shared" si="146"/>
        <v>345600</v>
      </c>
      <c r="AB236" s="364">
        <f t="shared" si="146"/>
        <v>172800</v>
      </c>
      <c r="AC236" s="364">
        <f t="shared" si="146"/>
        <v>345600</v>
      </c>
      <c r="AD236" s="364">
        <f t="shared" si="146"/>
        <v>172800</v>
      </c>
      <c r="AE236" s="364">
        <f t="shared" si="146"/>
        <v>345600</v>
      </c>
      <c r="AF236" s="364">
        <f t="shared" si="146"/>
        <v>345600</v>
      </c>
      <c r="AG236" s="365">
        <f t="shared" si="146"/>
        <v>345600</v>
      </c>
      <c r="AH236" s="75">
        <v>180000</v>
      </c>
      <c r="AI236" s="75">
        <v>360000</v>
      </c>
      <c r="AJ236" s="76">
        <v>60000</v>
      </c>
      <c r="AK236" s="366">
        <f t="shared" si="146"/>
        <v>172800</v>
      </c>
      <c r="AL236" s="364">
        <f t="shared" si="146"/>
        <v>172800</v>
      </c>
      <c r="AM236" s="75">
        <v>150000</v>
      </c>
      <c r="AN236" s="75">
        <v>60000</v>
      </c>
      <c r="AO236" s="364">
        <f t="shared" si="127"/>
        <v>518400</v>
      </c>
      <c r="AP236" s="364">
        <f t="shared" si="127"/>
        <v>345600</v>
      </c>
      <c r="AQ236" s="364">
        <f t="shared" si="127"/>
        <v>172800</v>
      </c>
    </row>
    <row r="237" spans="1:43" ht="14.25" x14ac:dyDescent="0.15">
      <c r="A237" s="343"/>
      <c r="B237" s="105" t="s">
        <v>79</v>
      </c>
      <c r="C237" s="309">
        <f t="shared" si="142"/>
        <v>960000</v>
      </c>
      <c r="D237" s="309">
        <f t="shared" si="142"/>
        <v>528000</v>
      </c>
      <c r="E237" s="309">
        <f t="shared" si="142"/>
        <v>528000</v>
      </c>
      <c r="F237" s="309">
        <f t="shared" si="142"/>
        <v>528000</v>
      </c>
      <c r="G237" s="309">
        <f t="shared" si="142"/>
        <v>528000</v>
      </c>
      <c r="H237" s="317">
        <f t="shared" si="122"/>
        <v>654400</v>
      </c>
      <c r="I237" s="317">
        <f t="shared" si="122"/>
        <v>785280</v>
      </c>
      <c r="J237" s="42" t="s">
        <v>1183</v>
      </c>
      <c r="K237" s="309"/>
      <c r="L237" s="309">
        <f t="shared" si="123"/>
        <v>768000</v>
      </c>
      <c r="M237" s="316">
        <f t="shared" si="124"/>
        <v>921600</v>
      </c>
      <c r="N237" s="316">
        <f t="shared" ref="N237:P237" si="147">+N29*0.8</f>
        <v>1105920</v>
      </c>
      <c r="O237" s="316">
        <f t="shared" si="147"/>
        <v>1105920</v>
      </c>
      <c r="P237" s="316">
        <f t="shared" si="147"/>
        <v>1290240</v>
      </c>
      <c r="Q237" s="316">
        <f t="shared" si="124"/>
        <v>92160</v>
      </c>
      <c r="R237" s="107"/>
      <c r="S237" s="77">
        <v>25000</v>
      </c>
      <c r="T237" s="110">
        <v>60000</v>
      </c>
      <c r="U237" s="110"/>
      <c r="V237" s="110">
        <v>3000</v>
      </c>
      <c r="W237" s="320"/>
      <c r="X237" s="110">
        <v>2000</v>
      </c>
      <c r="Y237" s="113">
        <v>2000</v>
      </c>
      <c r="Z237" s="363">
        <f t="shared" ref="Z237:AL237" si="148">+Z29*0.8</f>
        <v>96000</v>
      </c>
      <c r="AA237" s="364">
        <f t="shared" si="148"/>
        <v>384000</v>
      </c>
      <c r="AB237" s="364">
        <f t="shared" si="148"/>
        <v>192000</v>
      </c>
      <c r="AC237" s="364">
        <f t="shared" si="148"/>
        <v>384000</v>
      </c>
      <c r="AD237" s="364">
        <f t="shared" si="148"/>
        <v>192000</v>
      </c>
      <c r="AE237" s="364">
        <f t="shared" si="148"/>
        <v>384000</v>
      </c>
      <c r="AF237" s="364">
        <f t="shared" si="148"/>
        <v>384000</v>
      </c>
      <c r="AG237" s="365">
        <f t="shared" si="148"/>
        <v>384000</v>
      </c>
      <c r="AH237" s="78">
        <v>180000</v>
      </c>
      <c r="AI237" s="78">
        <v>360000</v>
      </c>
      <c r="AJ237" s="79">
        <v>60000</v>
      </c>
      <c r="AK237" s="366">
        <f t="shared" si="148"/>
        <v>192000</v>
      </c>
      <c r="AL237" s="364">
        <f t="shared" si="148"/>
        <v>192000</v>
      </c>
      <c r="AM237" s="75">
        <v>150000</v>
      </c>
      <c r="AN237" s="75">
        <v>60000</v>
      </c>
      <c r="AO237" s="364">
        <f t="shared" si="127"/>
        <v>576000</v>
      </c>
      <c r="AP237" s="364">
        <f t="shared" si="127"/>
        <v>384000</v>
      </c>
      <c r="AQ237" s="364">
        <f t="shared" si="127"/>
        <v>192000</v>
      </c>
    </row>
    <row r="238" spans="1:43" ht="14.25" x14ac:dyDescent="0.15">
      <c r="A238" s="343"/>
      <c r="B238" s="105" t="s">
        <v>939</v>
      </c>
      <c r="C238" s="309">
        <f t="shared" si="142"/>
        <v>1344000</v>
      </c>
      <c r="D238" s="309">
        <f t="shared" si="142"/>
        <v>739200</v>
      </c>
      <c r="E238" s="309">
        <f t="shared" si="142"/>
        <v>739200</v>
      </c>
      <c r="F238" s="309">
        <f t="shared" si="142"/>
        <v>739200</v>
      </c>
      <c r="G238" s="309">
        <f t="shared" si="142"/>
        <v>739200</v>
      </c>
      <c r="H238" s="317">
        <f t="shared" si="122"/>
        <v>844800</v>
      </c>
      <c r="I238" s="317">
        <f t="shared" si="122"/>
        <v>1013760</v>
      </c>
      <c r="J238" s="42" t="s">
        <v>1183</v>
      </c>
      <c r="K238" s="309"/>
      <c r="L238" s="309">
        <f t="shared" si="123"/>
        <v>864000</v>
      </c>
      <c r="M238" s="316">
        <f t="shared" si="124"/>
        <v>1036800</v>
      </c>
      <c r="N238" s="316">
        <f t="shared" ref="N238:P238" si="149">+N30*0.8</f>
        <v>1244160</v>
      </c>
      <c r="O238" s="316">
        <f t="shared" si="149"/>
        <v>1244160</v>
      </c>
      <c r="P238" s="316">
        <f t="shared" si="149"/>
        <v>1451520</v>
      </c>
      <c r="Q238" s="316">
        <f t="shared" si="124"/>
        <v>103680</v>
      </c>
      <c r="R238" s="107"/>
      <c r="S238" s="77">
        <v>25000</v>
      </c>
      <c r="T238" s="110">
        <v>60000</v>
      </c>
      <c r="U238" s="110"/>
      <c r="V238" s="110">
        <v>3000</v>
      </c>
      <c r="W238" s="320"/>
      <c r="X238" s="110">
        <v>2000</v>
      </c>
      <c r="Y238" s="113">
        <v>2000</v>
      </c>
      <c r="Z238" s="363">
        <f t="shared" ref="Z238:AL238" si="150">+Z30*0.8</f>
        <v>134400</v>
      </c>
      <c r="AA238" s="364">
        <f t="shared" si="150"/>
        <v>537600</v>
      </c>
      <c r="AB238" s="364">
        <f t="shared" si="150"/>
        <v>268800</v>
      </c>
      <c r="AC238" s="364">
        <f t="shared" si="150"/>
        <v>537600</v>
      </c>
      <c r="AD238" s="364">
        <f t="shared" si="150"/>
        <v>268800</v>
      </c>
      <c r="AE238" s="364">
        <f t="shared" si="150"/>
        <v>537600</v>
      </c>
      <c r="AF238" s="364">
        <f t="shared" si="150"/>
        <v>537600</v>
      </c>
      <c r="AG238" s="365">
        <f t="shared" si="150"/>
        <v>537600</v>
      </c>
      <c r="AH238" s="75">
        <v>180000</v>
      </c>
      <c r="AI238" s="75">
        <v>360000</v>
      </c>
      <c r="AJ238" s="76">
        <v>60000</v>
      </c>
      <c r="AK238" s="366">
        <f t="shared" si="150"/>
        <v>268800</v>
      </c>
      <c r="AL238" s="364">
        <f t="shared" si="150"/>
        <v>268800</v>
      </c>
      <c r="AM238" s="75">
        <v>150000</v>
      </c>
      <c r="AN238" s="75">
        <v>60000</v>
      </c>
      <c r="AO238" s="364">
        <f t="shared" si="127"/>
        <v>806400</v>
      </c>
      <c r="AP238" s="364">
        <f t="shared" si="127"/>
        <v>537600</v>
      </c>
      <c r="AQ238" s="364">
        <f t="shared" si="127"/>
        <v>268800</v>
      </c>
    </row>
    <row r="239" spans="1:43" ht="14.25" x14ac:dyDescent="0.15">
      <c r="A239" s="343"/>
      <c r="B239" s="105" t="s">
        <v>940</v>
      </c>
      <c r="C239" s="309">
        <f t="shared" si="142"/>
        <v>1344000</v>
      </c>
      <c r="D239" s="309">
        <f t="shared" si="142"/>
        <v>739200</v>
      </c>
      <c r="E239" s="309">
        <f t="shared" si="142"/>
        <v>739200</v>
      </c>
      <c r="F239" s="309">
        <f t="shared" si="142"/>
        <v>739200</v>
      </c>
      <c r="G239" s="309">
        <f t="shared" si="142"/>
        <v>739200</v>
      </c>
      <c r="H239" s="317">
        <f t="shared" si="122"/>
        <v>844800</v>
      </c>
      <c r="I239" s="317">
        <f t="shared" si="122"/>
        <v>1013760</v>
      </c>
      <c r="J239" s="42" t="s">
        <v>1183</v>
      </c>
      <c r="K239" s="309"/>
      <c r="L239" s="309">
        <f t="shared" si="123"/>
        <v>864000</v>
      </c>
      <c r="M239" s="316">
        <f t="shared" si="124"/>
        <v>1036800</v>
      </c>
      <c r="N239" s="316">
        <f t="shared" ref="N239:P239" si="151">+N31*0.8</f>
        <v>1244160</v>
      </c>
      <c r="O239" s="316">
        <f t="shared" si="151"/>
        <v>1244160</v>
      </c>
      <c r="P239" s="316">
        <f t="shared" si="151"/>
        <v>1451520</v>
      </c>
      <c r="Q239" s="316">
        <f t="shared" si="124"/>
        <v>103680</v>
      </c>
      <c r="R239" s="107"/>
      <c r="S239" s="77">
        <v>25000</v>
      </c>
      <c r="T239" s="110">
        <v>60000</v>
      </c>
      <c r="U239" s="110"/>
      <c r="V239" s="110">
        <v>3000</v>
      </c>
      <c r="W239" s="320"/>
      <c r="X239" s="110">
        <v>2000</v>
      </c>
      <c r="Y239" s="113">
        <v>2000</v>
      </c>
      <c r="Z239" s="363">
        <f t="shared" ref="Z239:AL239" si="152">+Z31*0.8</f>
        <v>134400</v>
      </c>
      <c r="AA239" s="364">
        <f t="shared" si="152"/>
        <v>537600</v>
      </c>
      <c r="AB239" s="364">
        <f t="shared" si="152"/>
        <v>268800</v>
      </c>
      <c r="AC239" s="364">
        <f t="shared" si="152"/>
        <v>537600</v>
      </c>
      <c r="AD239" s="364">
        <f t="shared" si="152"/>
        <v>268800</v>
      </c>
      <c r="AE239" s="364">
        <f t="shared" si="152"/>
        <v>537600</v>
      </c>
      <c r="AF239" s="364">
        <f t="shared" si="152"/>
        <v>537600</v>
      </c>
      <c r="AG239" s="365">
        <f t="shared" si="152"/>
        <v>537600</v>
      </c>
      <c r="AH239" s="75">
        <v>180000</v>
      </c>
      <c r="AI239" s="75">
        <v>360000</v>
      </c>
      <c r="AJ239" s="76">
        <v>60000</v>
      </c>
      <c r="AK239" s="366">
        <f t="shared" si="152"/>
        <v>268800</v>
      </c>
      <c r="AL239" s="364">
        <f t="shared" si="152"/>
        <v>268800</v>
      </c>
      <c r="AM239" s="75">
        <v>150000</v>
      </c>
      <c r="AN239" s="75">
        <v>60000</v>
      </c>
      <c r="AO239" s="364">
        <f t="shared" si="127"/>
        <v>806400</v>
      </c>
      <c r="AP239" s="364">
        <f t="shared" si="127"/>
        <v>537600</v>
      </c>
      <c r="AQ239" s="364">
        <f t="shared" si="127"/>
        <v>268800</v>
      </c>
    </row>
    <row r="240" spans="1:43" ht="14.25" x14ac:dyDescent="0.15">
      <c r="A240" s="343"/>
      <c r="B240" s="105" t="s">
        <v>80</v>
      </c>
      <c r="C240" s="309">
        <f t="shared" ref="C240:G241" si="153">+C32*0.8</f>
        <v>1728000</v>
      </c>
      <c r="D240" s="309">
        <f t="shared" ref="D240:F240" si="154">+D32*0.8</f>
        <v>912000</v>
      </c>
      <c r="E240" s="309">
        <f t="shared" si="154"/>
        <v>912000</v>
      </c>
      <c r="F240" s="309">
        <f t="shared" si="154"/>
        <v>912000</v>
      </c>
      <c r="G240" s="309">
        <f t="shared" si="153"/>
        <v>912000</v>
      </c>
      <c r="H240" s="317">
        <f t="shared" ref="H240:I241" si="155">+H32*0.8</f>
        <v>1161600</v>
      </c>
      <c r="I240" s="317">
        <f t="shared" si="155"/>
        <v>1393920</v>
      </c>
      <c r="J240" s="42" t="s">
        <v>1183</v>
      </c>
      <c r="K240" s="309"/>
      <c r="L240" s="309">
        <f t="shared" ref="L240:L241" si="156">+L32*0.8</f>
        <v>1248000</v>
      </c>
      <c r="M240" s="316">
        <f t="shared" ref="M240:Q241" si="157">+M32*0.8</f>
        <v>1497600</v>
      </c>
      <c r="N240" s="316">
        <f t="shared" ref="N240:P240" si="158">+N32*0.8</f>
        <v>1797120</v>
      </c>
      <c r="O240" s="316">
        <f t="shared" si="158"/>
        <v>1797120</v>
      </c>
      <c r="P240" s="316">
        <f t="shared" si="158"/>
        <v>2096640</v>
      </c>
      <c r="Q240" s="316">
        <f t="shared" si="157"/>
        <v>149760</v>
      </c>
      <c r="R240" s="107"/>
      <c r="S240" s="77">
        <v>25000</v>
      </c>
      <c r="T240" s="110">
        <v>60000</v>
      </c>
      <c r="U240" s="110"/>
      <c r="V240" s="110">
        <v>3000</v>
      </c>
      <c r="W240" s="320"/>
      <c r="X240" s="110">
        <v>2000</v>
      </c>
      <c r="Y240" s="113">
        <v>2000</v>
      </c>
      <c r="Z240" s="363">
        <f t="shared" ref="Z240:AQ240" si="159">+Z32*0.8</f>
        <v>172800</v>
      </c>
      <c r="AA240" s="364">
        <f t="shared" si="159"/>
        <v>691200</v>
      </c>
      <c r="AB240" s="364">
        <f t="shared" si="159"/>
        <v>345600</v>
      </c>
      <c r="AC240" s="364">
        <f t="shared" si="159"/>
        <v>691200</v>
      </c>
      <c r="AD240" s="364">
        <f t="shared" si="159"/>
        <v>345600</v>
      </c>
      <c r="AE240" s="364">
        <f t="shared" si="159"/>
        <v>691200</v>
      </c>
      <c r="AF240" s="364">
        <f t="shared" si="159"/>
        <v>691200</v>
      </c>
      <c r="AG240" s="365">
        <f t="shared" si="159"/>
        <v>691200</v>
      </c>
      <c r="AH240" s="78">
        <v>180000</v>
      </c>
      <c r="AI240" s="78">
        <v>360000</v>
      </c>
      <c r="AJ240" s="79">
        <v>60000</v>
      </c>
      <c r="AK240" s="366">
        <f t="shared" si="159"/>
        <v>345600</v>
      </c>
      <c r="AL240" s="364">
        <f t="shared" si="159"/>
        <v>345600</v>
      </c>
      <c r="AM240" s="75">
        <v>150000</v>
      </c>
      <c r="AN240" s="75">
        <v>60000</v>
      </c>
      <c r="AO240" s="364">
        <f t="shared" si="159"/>
        <v>1036800</v>
      </c>
      <c r="AP240" s="364">
        <f t="shared" si="159"/>
        <v>691200</v>
      </c>
      <c r="AQ240" s="364">
        <f t="shared" si="159"/>
        <v>345600</v>
      </c>
    </row>
    <row r="241" spans="1:43" ht="14.25" x14ac:dyDescent="0.15">
      <c r="A241" s="676"/>
      <c r="B241" s="105" t="s">
        <v>81</v>
      </c>
      <c r="C241" s="309">
        <f t="shared" si="153"/>
        <v>2304000</v>
      </c>
      <c r="D241" s="309">
        <f t="shared" ref="D241:F241" si="160">+D33*0.8</f>
        <v>1104000</v>
      </c>
      <c r="E241" s="309">
        <f t="shared" si="160"/>
        <v>1104000</v>
      </c>
      <c r="F241" s="309">
        <f t="shared" si="160"/>
        <v>1104000</v>
      </c>
      <c r="G241" s="309">
        <f t="shared" si="153"/>
        <v>1104000</v>
      </c>
      <c r="H241" s="317">
        <f t="shared" si="155"/>
        <v>1425600</v>
      </c>
      <c r="I241" s="317">
        <f t="shared" si="155"/>
        <v>1710720</v>
      </c>
      <c r="J241" s="42" t="s">
        <v>1183</v>
      </c>
      <c r="K241" s="309"/>
      <c r="L241" s="309">
        <f t="shared" si="156"/>
        <v>1440000</v>
      </c>
      <c r="M241" s="316">
        <f t="shared" si="157"/>
        <v>1728000</v>
      </c>
      <c r="N241" s="316">
        <f t="shared" ref="N241:P241" si="161">+N33*0.8</f>
        <v>2073600</v>
      </c>
      <c r="O241" s="316">
        <f t="shared" si="161"/>
        <v>2073600</v>
      </c>
      <c r="P241" s="316">
        <f t="shared" si="161"/>
        <v>2419200</v>
      </c>
      <c r="Q241" s="316">
        <f t="shared" si="157"/>
        <v>172800</v>
      </c>
      <c r="R241" s="107"/>
      <c r="S241" s="77">
        <v>25000</v>
      </c>
      <c r="T241" s="110">
        <v>60000</v>
      </c>
      <c r="U241" s="110"/>
      <c r="V241" s="110">
        <v>3000</v>
      </c>
      <c r="W241" s="320"/>
      <c r="X241" s="110">
        <v>2000</v>
      </c>
      <c r="Y241" s="113">
        <v>2000</v>
      </c>
      <c r="Z241" s="363">
        <f t="shared" ref="Z241:AQ241" si="162">+Z33*0.8</f>
        <v>230400</v>
      </c>
      <c r="AA241" s="364">
        <f t="shared" si="162"/>
        <v>921600</v>
      </c>
      <c r="AB241" s="364">
        <f t="shared" si="162"/>
        <v>460800</v>
      </c>
      <c r="AC241" s="364">
        <f t="shared" si="162"/>
        <v>921600</v>
      </c>
      <c r="AD241" s="364">
        <f t="shared" si="162"/>
        <v>460800</v>
      </c>
      <c r="AE241" s="364">
        <f t="shared" si="162"/>
        <v>921600</v>
      </c>
      <c r="AF241" s="364">
        <f t="shared" si="162"/>
        <v>921600</v>
      </c>
      <c r="AG241" s="365">
        <f t="shared" si="162"/>
        <v>921600</v>
      </c>
      <c r="AH241" s="75">
        <v>180000</v>
      </c>
      <c r="AI241" s="75">
        <v>360000</v>
      </c>
      <c r="AJ241" s="76">
        <v>60000</v>
      </c>
      <c r="AK241" s="366">
        <f t="shared" si="162"/>
        <v>460800</v>
      </c>
      <c r="AL241" s="364">
        <f t="shared" si="162"/>
        <v>460800</v>
      </c>
      <c r="AM241" s="75">
        <v>150000</v>
      </c>
      <c r="AN241" s="75">
        <v>60000</v>
      </c>
      <c r="AO241" s="364">
        <f t="shared" si="162"/>
        <v>1382400</v>
      </c>
      <c r="AP241" s="364">
        <f t="shared" si="162"/>
        <v>921600</v>
      </c>
      <c r="AQ241" s="364">
        <f t="shared" si="162"/>
        <v>460800</v>
      </c>
    </row>
    <row r="242" spans="1:43" ht="14.25" x14ac:dyDescent="0.15">
      <c r="A242" s="379"/>
      <c r="B242" s="37"/>
      <c r="C242" s="324"/>
      <c r="D242" s="324"/>
      <c r="E242" s="324"/>
      <c r="F242" s="324"/>
      <c r="G242" s="324"/>
      <c r="H242" s="380"/>
      <c r="I242" s="380"/>
      <c r="J242" s="324"/>
      <c r="K242" s="324"/>
      <c r="L242" s="324"/>
      <c r="M242" s="324"/>
      <c r="N242" s="324"/>
      <c r="O242" s="324"/>
      <c r="P242" s="324"/>
      <c r="Q242" s="324"/>
      <c r="R242" s="40"/>
      <c r="S242" s="114"/>
      <c r="T242" s="114"/>
      <c r="U242" s="114"/>
      <c r="V242" s="114"/>
      <c r="W242" s="324"/>
      <c r="X242" s="114"/>
      <c r="Y242" s="114"/>
      <c r="Z242" s="326"/>
      <c r="AA242" s="381"/>
      <c r="AB242" s="381"/>
      <c r="AC242" s="381"/>
      <c r="AD242" s="381"/>
      <c r="AE242" s="381"/>
      <c r="AF242" s="381"/>
      <c r="AG242" s="381"/>
      <c r="AH242" s="326"/>
      <c r="AI242" s="326"/>
      <c r="AJ242" s="326"/>
      <c r="AK242" s="381"/>
      <c r="AL242" s="381"/>
      <c r="AM242" s="326"/>
      <c r="AN242" s="326"/>
      <c r="AO242" s="381"/>
      <c r="AP242" s="381"/>
      <c r="AQ242" s="381"/>
    </row>
    <row r="243" spans="1:43" ht="14.25" hidden="1" x14ac:dyDescent="0.15">
      <c r="A243" s="379"/>
      <c r="B243" s="37"/>
      <c r="C243" s="324"/>
      <c r="D243" s="324"/>
      <c r="E243" s="324"/>
      <c r="F243" s="324"/>
      <c r="G243" s="324"/>
      <c r="H243" s="380"/>
      <c r="I243" s="380"/>
      <c r="J243" s="324"/>
      <c r="K243" s="324"/>
      <c r="L243" s="324"/>
      <c r="M243" s="324"/>
      <c r="N243" s="324"/>
      <c r="O243" s="324"/>
      <c r="P243" s="324"/>
      <c r="Q243" s="324"/>
      <c r="R243" s="40"/>
      <c r="S243" s="114"/>
      <c r="T243" s="114"/>
      <c r="U243" s="114"/>
      <c r="V243" s="114"/>
      <c r="W243" s="324"/>
      <c r="X243" s="114"/>
      <c r="Y243" s="114"/>
      <c r="Z243" s="326"/>
      <c r="AA243" s="381"/>
      <c r="AB243" s="381"/>
      <c r="AC243" s="381"/>
      <c r="AD243" s="381"/>
      <c r="AE243" s="381"/>
      <c r="AF243" s="381"/>
      <c r="AG243" s="381"/>
      <c r="AH243" s="326"/>
      <c r="AI243" s="326"/>
      <c r="AJ243" s="326"/>
      <c r="AK243" s="381"/>
      <c r="AL243" s="381"/>
      <c r="AM243" s="326"/>
      <c r="AN243" s="326"/>
      <c r="AO243" s="381"/>
      <c r="AP243" s="381"/>
      <c r="AQ243" s="381"/>
    </row>
    <row r="244" spans="1:43" ht="14.25" hidden="1" x14ac:dyDescent="0.15">
      <c r="A244" s="379"/>
      <c r="B244" s="37"/>
      <c r="C244" s="324"/>
      <c r="D244" s="324"/>
      <c r="E244" s="324"/>
      <c r="F244" s="324"/>
      <c r="G244" s="324"/>
      <c r="H244" s="380"/>
      <c r="I244" s="380"/>
      <c r="J244" s="324"/>
      <c r="K244" s="324"/>
      <c r="L244" s="324"/>
      <c r="M244" s="324"/>
      <c r="N244" s="324"/>
      <c r="O244" s="324"/>
      <c r="P244" s="324"/>
      <c r="Q244" s="324"/>
      <c r="R244" s="40"/>
      <c r="S244" s="114"/>
      <c r="T244" s="114"/>
      <c r="U244" s="114"/>
      <c r="V244" s="114"/>
      <c r="W244" s="324"/>
      <c r="X244" s="114"/>
      <c r="Y244" s="114"/>
      <c r="Z244" s="326"/>
      <c r="AA244" s="381"/>
      <c r="AB244" s="381"/>
      <c r="AC244" s="381"/>
      <c r="AD244" s="381"/>
      <c r="AE244" s="381"/>
      <c r="AF244" s="381"/>
      <c r="AG244" s="381"/>
      <c r="AH244" s="326"/>
      <c r="AI244" s="326"/>
      <c r="AJ244" s="326"/>
      <c r="AK244" s="381"/>
      <c r="AL244" s="381"/>
      <c r="AM244" s="326"/>
      <c r="AN244" s="326"/>
      <c r="AO244" s="381"/>
      <c r="AP244" s="381"/>
      <c r="AQ244" s="381"/>
    </row>
    <row r="245" spans="1:43" ht="14.25" hidden="1" x14ac:dyDescent="0.15">
      <c r="A245" s="379"/>
      <c r="B245" s="37"/>
      <c r="C245" s="324"/>
      <c r="D245" s="324"/>
      <c r="E245" s="324"/>
      <c r="F245" s="324"/>
      <c r="G245" s="324"/>
      <c r="H245" s="380"/>
      <c r="I245" s="380"/>
      <c r="J245" s="324"/>
      <c r="K245" s="324"/>
      <c r="L245" s="324"/>
      <c r="M245" s="324"/>
      <c r="N245" s="324"/>
      <c r="O245" s="324"/>
      <c r="P245" s="324"/>
      <c r="Q245" s="324"/>
      <c r="R245" s="40"/>
      <c r="S245" s="114"/>
      <c r="T245" s="114"/>
      <c r="U245" s="114"/>
      <c r="V245" s="114"/>
      <c r="W245" s="324"/>
      <c r="X245" s="114"/>
      <c r="Y245" s="114"/>
      <c r="Z245" s="326"/>
      <c r="AA245" s="381"/>
      <c r="AB245" s="381"/>
      <c r="AC245" s="381"/>
      <c r="AD245" s="381"/>
      <c r="AE245" s="381"/>
      <c r="AF245" s="381"/>
      <c r="AG245" s="381"/>
      <c r="AH245" s="326"/>
      <c r="AI245" s="326"/>
      <c r="AJ245" s="326"/>
      <c r="AK245" s="381"/>
      <c r="AL245" s="381"/>
      <c r="AM245" s="326"/>
      <c r="AN245" s="326"/>
      <c r="AO245" s="381"/>
      <c r="AP245" s="381"/>
      <c r="AQ245" s="381"/>
    </row>
    <row r="246" spans="1:43" ht="14.25" hidden="1" x14ac:dyDescent="0.15">
      <c r="A246" s="379"/>
      <c r="B246" s="37"/>
      <c r="C246" s="324"/>
      <c r="D246" s="324"/>
      <c r="E246" s="324"/>
      <c r="F246" s="324"/>
      <c r="G246" s="324"/>
      <c r="H246" s="380"/>
      <c r="I246" s="380"/>
      <c r="J246" s="324"/>
      <c r="K246" s="324"/>
      <c r="L246" s="324"/>
      <c r="M246" s="324"/>
      <c r="N246" s="324"/>
      <c r="O246" s="324"/>
      <c r="P246" s="324"/>
      <c r="Q246" s="324"/>
      <c r="R246" s="40"/>
      <c r="S246" s="114"/>
      <c r="T246" s="114"/>
      <c r="U246" s="114"/>
      <c r="V246" s="114"/>
      <c r="W246" s="324"/>
      <c r="X246" s="114"/>
      <c r="Y246" s="114"/>
      <c r="Z246" s="326"/>
      <c r="AA246" s="381"/>
      <c r="AB246" s="381"/>
      <c r="AC246" s="381"/>
      <c r="AD246" s="381"/>
      <c r="AE246" s="381"/>
      <c r="AF246" s="381"/>
      <c r="AG246" s="381"/>
      <c r="AH246" s="326"/>
      <c r="AI246" s="326"/>
      <c r="AJ246" s="326"/>
      <c r="AK246" s="381"/>
      <c r="AL246" s="381"/>
      <c r="AM246" s="326"/>
      <c r="AN246" s="326"/>
      <c r="AO246" s="381"/>
      <c r="AP246" s="381"/>
      <c r="AQ246" s="381"/>
    </row>
    <row r="247" spans="1:43" ht="14.25" hidden="1" x14ac:dyDescent="0.15">
      <c r="A247" s="379"/>
      <c r="B247" s="37"/>
      <c r="C247" s="324"/>
      <c r="D247" s="324"/>
      <c r="E247" s="324"/>
      <c r="F247" s="324"/>
      <c r="G247" s="324"/>
      <c r="H247" s="380"/>
      <c r="I247" s="380"/>
      <c r="J247" s="324"/>
      <c r="K247" s="324"/>
      <c r="L247" s="324"/>
      <c r="M247" s="324"/>
      <c r="N247" s="324"/>
      <c r="O247" s="324"/>
      <c r="P247" s="324"/>
      <c r="Q247" s="324"/>
      <c r="R247" s="40"/>
      <c r="S247" s="114"/>
      <c r="T247" s="114"/>
      <c r="U247" s="114"/>
      <c r="V247" s="114"/>
      <c r="W247" s="324"/>
      <c r="X247" s="114"/>
      <c r="Y247" s="114"/>
      <c r="Z247" s="326"/>
      <c r="AA247" s="381"/>
      <c r="AB247" s="381"/>
      <c r="AC247" s="381"/>
      <c r="AD247" s="381"/>
      <c r="AE247" s="381"/>
      <c r="AF247" s="381"/>
      <c r="AG247" s="381"/>
      <c r="AH247" s="326"/>
      <c r="AI247" s="326"/>
      <c r="AJ247" s="326"/>
      <c r="AK247" s="381"/>
      <c r="AL247" s="381"/>
      <c r="AM247" s="326"/>
      <c r="AN247" s="326"/>
      <c r="AO247" s="381"/>
      <c r="AP247" s="381"/>
      <c r="AQ247" s="381"/>
    </row>
    <row r="248" spans="1:43" ht="14.25" hidden="1" x14ac:dyDescent="0.15">
      <c r="A248" s="379"/>
      <c r="B248" s="37"/>
      <c r="C248" s="324"/>
      <c r="D248" s="324"/>
      <c r="E248" s="324"/>
      <c r="F248" s="324"/>
      <c r="G248" s="324"/>
      <c r="H248" s="380"/>
      <c r="I248" s="380"/>
      <c r="J248" s="324"/>
      <c r="K248" s="324"/>
      <c r="L248" s="324"/>
      <c r="M248" s="324"/>
      <c r="N248" s="324"/>
      <c r="O248" s="324"/>
      <c r="P248" s="324"/>
      <c r="Q248" s="324"/>
      <c r="R248" s="40"/>
      <c r="S248" s="114"/>
      <c r="T248" s="114"/>
      <c r="U248" s="114"/>
      <c r="V248" s="114"/>
      <c r="W248" s="324"/>
      <c r="X248" s="114"/>
      <c r="Y248" s="114"/>
      <c r="Z248" s="326"/>
      <c r="AA248" s="381"/>
      <c r="AB248" s="381"/>
      <c r="AC248" s="381"/>
      <c r="AD248" s="381"/>
      <c r="AE248" s="381"/>
      <c r="AF248" s="381"/>
      <c r="AG248" s="381"/>
      <c r="AH248" s="326"/>
      <c r="AI248" s="326"/>
      <c r="AJ248" s="326"/>
      <c r="AK248" s="381"/>
      <c r="AL248" s="381"/>
      <c r="AM248" s="326"/>
      <c r="AN248" s="326"/>
      <c r="AO248" s="381"/>
      <c r="AP248" s="381"/>
      <c r="AQ248" s="381"/>
    </row>
    <row r="249" spans="1:43" ht="14.25" hidden="1" x14ac:dyDescent="0.15">
      <c r="A249" s="379"/>
      <c r="B249" s="37"/>
      <c r="C249" s="324"/>
      <c r="D249" s="324"/>
      <c r="E249" s="324"/>
      <c r="F249" s="324"/>
      <c r="G249" s="324"/>
      <c r="H249" s="380"/>
      <c r="I249" s="380"/>
      <c r="J249" s="324"/>
      <c r="K249" s="324"/>
      <c r="L249" s="324"/>
      <c r="M249" s="324"/>
      <c r="N249" s="324"/>
      <c r="O249" s="324"/>
      <c r="P249" s="324"/>
      <c r="Q249" s="324"/>
      <c r="R249" s="40"/>
      <c r="S249" s="114"/>
      <c r="T249" s="114"/>
      <c r="U249" s="114"/>
      <c r="V249" s="114"/>
      <c r="W249" s="324"/>
      <c r="X249" s="114"/>
      <c r="Y249" s="114"/>
      <c r="Z249" s="326"/>
      <c r="AA249" s="381"/>
      <c r="AB249" s="381"/>
      <c r="AC249" s="381"/>
      <c r="AD249" s="381"/>
      <c r="AE249" s="381"/>
      <c r="AF249" s="381"/>
      <c r="AG249" s="381"/>
      <c r="AH249" s="326"/>
      <c r="AI249" s="326"/>
      <c r="AJ249" s="326"/>
      <c r="AK249" s="381"/>
      <c r="AL249" s="381"/>
      <c r="AM249" s="326"/>
      <c r="AN249" s="326"/>
      <c r="AO249" s="381"/>
      <c r="AP249" s="381"/>
      <c r="AQ249" s="381"/>
    </row>
    <row r="250" spans="1:43" ht="14.25" hidden="1" x14ac:dyDescent="0.15">
      <c r="A250" s="379"/>
      <c r="B250" s="37"/>
      <c r="C250" s="324"/>
      <c r="D250" s="324"/>
      <c r="E250" s="324"/>
      <c r="F250" s="324"/>
      <c r="G250" s="324"/>
      <c r="H250" s="380"/>
      <c r="I250" s="380"/>
      <c r="J250" s="324"/>
      <c r="K250" s="324"/>
      <c r="L250" s="324"/>
      <c r="M250" s="324"/>
      <c r="N250" s="324"/>
      <c r="O250" s="324"/>
      <c r="P250" s="324"/>
      <c r="Q250" s="324"/>
      <c r="R250" s="40"/>
      <c r="S250" s="114"/>
      <c r="T250" s="114"/>
      <c r="U250" s="114"/>
      <c r="V250" s="114"/>
      <c r="W250" s="324"/>
      <c r="X250" s="114"/>
      <c r="Y250" s="114"/>
      <c r="Z250" s="326"/>
      <c r="AA250" s="381"/>
      <c r="AB250" s="381"/>
      <c r="AC250" s="381"/>
      <c r="AD250" s="381"/>
      <c r="AE250" s="381"/>
      <c r="AF250" s="381"/>
      <c r="AG250" s="381"/>
      <c r="AH250" s="326"/>
      <c r="AI250" s="326"/>
      <c r="AJ250" s="326"/>
      <c r="AK250" s="381"/>
      <c r="AL250" s="381"/>
      <c r="AM250" s="326"/>
      <c r="AN250" s="326"/>
      <c r="AO250" s="381"/>
      <c r="AP250" s="381"/>
      <c r="AQ250" s="381"/>
    </row>
    <row r="251" spans="1:43" ht="14.25" hidden="1" x14ac:dyDescent="0.15">
      <c r="A251" s="379"/>
      <c r="B251" s="37"/>
      <c r="C251" s="324"/>
      <c r="D251" s="324"/>
      <c r="E251" s="324"/>
      <c r="F251" s="324"/>
      <c r="G251" s="324"/>
      <c r="H251" s="380"/>
      <c r="I251" s="380"/>
      <c r="J251" s="324"/>
      <c r="K251" s="324"/>
      <c r="L251" s="324"/>
      <c r="M251" s="324"/>
      <c r="N251" s="324"/>
      <c r="O251" s="324"/>
      <c r="P251" s="324"/>
      <c r="Q251" s="324"/>
      <c r="R251" s="40"/>
      <c r="S251" s="114"/>
      <c r="T251" s="114"/>
      <c r="U251" s="114"/>
      <c r="V251" s="114"/>
      <c r="W251" s="324"/>
      <c r="X251" s="114"/>
      <c r="Y251" s="114"/>
      <c r="Z251" s="326"/>
      <c r="AA251" s="381"/>
      <c r="AB251" s="381"/>
      <c r="AC251" s="381"/>
      <c r="AD251" s="381"/>
      <c r="AE251" s="381"/>
      <c r="AF251" s="381"/>
      <c r="AG251" s="381"/>
      <c r="AH251" s="326"/>
      <c r="AI251" s="326"/>
      <c r="AJ251" s="326"/>
      <c r="AK251" s="381"/>
      <c r="AL251" s="381"/>
      <c r="AM251" s="326"/>
      <c r="AN251" s="326"/>
      <c r="AO251" s="381"/>
      <c r="AP251" s="381"/>
      <c r="AQ251" s="381"/>
    </row>
    <row r="252" spans="1:43" ht="14.25" hidden="1" x14ac:dyDescent="0.15">
      <c r="A252" s="379"/>
      <c r="B252" s="37"/>
      <c r="C252" s="324"/>
      <c r="D252" s="324"/>
      <c r="E252" s="324"/>
      <c r="F252" s="324"/>
      <c r="G252" s="324"/>
      <c r="H252" s="380"/>
      <c r="I252" s="380"/>
      <c r="J252" s="324"/>
      <c r="K252" s="324"/>
      <c r="L252" s="324"/>
      <c r="M252" s="324"/>
      <c r="N252" s="324"/>
      <c r="O252" s="324"/>
      <c r="P252" s="324"/>
      <c r="Q252" s="324"/>
      <c r="R252" s="40"/>
      <c r="S252" s="114"/>
      <c r="T252" s="114"/>
      <c r="U252" s="114"/>
      <c r="V252" s="114"/>
      <c r="W252" s="324"/>
      <c r="X252" s="114"/>
      <c r="Y252" s="114"/>
      <c r="Z252" s="326"/>
      <c r="AA252" s="381"/>
      <c r="AB252" s="381"/>
      <c r="AC252" s="381"/>
      <c r="AD252" s="381"/>
      <c r="AE252" s="381"/>
      <c r="AF252" s="381"/>
      <c r="AG252" s="381"/>
      <c r="AH252" s="326"/>
      <c r="AI252" s="326"/>
      <c r="AJ252" s="326"/>
      <c r="AK252" s="381"/>
      <c r="AL252" s="381"/>
      <c r="AM252" s="326"/>
      <c r="AN252" s="326"/>
      <c r="AO252" s="381"/>
      <c r="AP252" s="381"/>
      <c r="AQ252" s="381"/>
    </row>
    <row r="253" spans="1:43" ht="14.25" hidden="1" x14ac:dyDescent="0.15">
      <c r="A253" s="379"/>
      <c r="B253" s="37"/>
      <c r="C253" s="324"/>
      <c r="D253" s="324"/>
      <c r="E253" s="324"/>
      <c r="F253" s="324"/>
      <c r="G253" s="324"/>
      <c r="H253" s="380"/>
      <c r="I253" s="380"/>
      <c r="J253" s="324"/>
      <c r="K253" s="324"/>
      <c r="L253" s="324"/>
      <c r="M253" s="324"/>
      <c r="N253" s="324"/>
      <c r="O253" s="324"/>
      <c r="P253" s="324"/>
      <c r="Q253" s="324"/>
      <c r="R253" s="40"/>
      <c r="S253" s="114"/>
      <c r="T253" s="114"/>
      <c r="U253" s="114"/>
      <c r="V253" s="114"/>
      <c r="W253" s="324"/>
      <c r="X253" s="114"/>
      <c r="Y253" s="114"/>
      <c r="Z253" s="326"/>
      <c r="AA253" s="381"/>
      <c r="AB253" s="381"/>
      <c r="AC253" s="381"/>
      <c r="AD253" s="381"/>
      <c r="AE253" s="381"/>
      <c r="AF253" s="381"/>
      <c r="AG253" s="381"/>
      <c r="AH253" s="326"/>
      <c r="AI253" s="326"/>
      <c r="AJ253" s="326"/>
      <c r="AK253" s="381"/>
      <c r="AL253" s="381"/>
      <c r="AM253" s="326"/>
      <c r="AN253" s="326"/>
      <c r="AO253" s="381"/>
      <c r="AP253" s="381"/>
      <c r="AQ253" s="381"/>
    </row>
    <row r="254" spans="1:43" ht="14.25" hidden="1" x14ac:dyDescent="0.15">
      <c r="A254" s="379"/>
      <c r="B254" s="37"/>
      <c r="C254" s="324"/>
      <c r="D254" s="324"/>
      <c r="E254" s="324"/>
      <c r="F254" s="324"/>
      <c r="G254" s="324"/>
      <c r="H254" s="380"/>
      <c r="I254" s="380"/>
      <c r="J254" s="324"/>
      <c r="K254" s="324"/>
      <c r="L254" s="324"/>
      <c r="M254" s="324"/>
      <c r="N254" s="324"/>
      <c r="O254" s="324"/>
      <c r="P254" s="324"/>
      <c r="Q254" s="324"/>
      <c r="R254" s="40"/>
      <c r="S254" s="114"/>
      <c r="T254" s="114"/>
      <c r="U254" s="114"/>
      <c r="V254" s="114"/>
      <c r="W254" s="324"/>
      <c r="X254" s="114"/>
      <c r="Y254" s="114"/>
      <c r="Z254" s="326"/>
      <c r="AA254" s="381"/>
      <c r="AB254" s="381"/>
      <c r="AC254" s="381"/>
      <c r="AD254" s="381"/>
      <c r="AE254" s="381"/>
      <c r="AF254" s="381"/>
      <c r="AG254" s="381"/>
      <c r="AH254" s="326"/>
      <c r="AI254" s="326"/>
      <c r="AJ254" s="326"/>
      <c r="AK254" s="381"/>
      <c r="AL254" s="381"/>
      <c r="AM254" s="326"/>
      <c r="AN254" s="326"/>
      <c r="AO254" s="381"/>
      <c r="AP254" s="381"/>
      <c r="AQ254" s="381"/>
    </row>
    <row r="255" spans="1:43" ht="14.25" hidden="1" x14ac:dyDescent="0.15">
      <c r="A255" s="379"/>
      <c r="B255" s="37"/>
      <c r="C255" s="324"/>
      <c r="D255" s="324"/>
      <c r="E255" s="324"/>
      <c r="F255" s="324"/>
      <c r="G255" s="324"/>
      <c r="H255" s="380"/>
      <c r="I255" s="380"/>
      <c r="J255" s="324"/>
      <c r="K255" s="324"/>
      <c r="L255" s="324"/>
      <c r="M255" s="324"/>
      <c r="N255" s="324"/>
      <c r="O255" s="324"/>
      <c r="P255" s="324"/>
      <c r="Q255" s="324"/>
      <c r="R255" s="40"/>
      <c r="S255" s="114"/>
      <c r="T255" s="114"/>
      <c r="U255" s="114"/>
      <c r="V255" s="114"/>
      <c r="W255" s="324"/>
      <c r="X255" s="114"/>
      <c r="Y255" s="114"/>
      <c r="Z255" s="326"/>
      <c r="AA255" s="381"/>
      <c r="AB255" s="381"/>
      <c r="AC255" s="381"/>
      <c r="AD255" s="381"/>
      <c r="AE255" s="381"/>
      <c r="AF255" s="381"/>
      <c r="AG255" s="381"/>
      <c r="AH255" s="326"/>
      <c r="AI255" s="326"/>
      <c r="AJ255" s="326"/>
      <c r="AK255" s="381"/>
      <c r="AL255" s="381"/>
      <c r="AM255" s="326"/>
      <c r="AN255" s="326"/>
      <c r="AO255" s="381"/>
      <c r="AP255" s="381"/>
      <c r="AQ255" s="381"/>
    </row>
    <row r="256" spans="1:43" ht="14.25" hidden="1" x14ac:dyDescent="0.15">
      <c r="A256" s="379"/>
      <c r="B256" s="37"/>
      <c r="C256" s="324"/>
      <c r="D256" s="324"/>
      <c r="E256" s="324"/>
      <c r="F256" s="324"/>
      <c r="G256" s="324"/>
      <c r="H256" s="380"/>
      <c r="I256" s="380"/>
      <c r="J256" s="324"/>
      <c r="K256" s="324"/>
      <c r="L256" s="324"/>
      <c r="M256" s="324"/>
      <c r="N256" s="324"/>
      <c r="O256" s="324"/>
      <c r="P256" s="324"/>
      <c r="Q256" s="324"/>
      <c r="R256" s="40"/>
      <c r="S256" s="114"/>
      <c r="T256" s="114"/>
      <c r="U256" s="114"/>
      <c r="V256" s="114"/>
      <c r="W256" s="324"/>
      <c r="X256" s="114"/>
      <c r="Y256" s="114"/>
      <c r="Z256" s="326"/>
      <c r="AA256" s="381"/>
      <c r="AB256" s="381"/>
      <c r="AC256" s="381"/>
      <c r="AD256" s="381"/>
      <c r="AE256" s="381"/>
      <c r="AF256" s="381"/>
      <c r="AG256" s="381"/>
      <c r="AH256" s="326"/>
      <c r="AI256" s="326"/>
      <c r="AJ256" s="326"/>
      <c r="AK256" s="381"/>
      <c r="AL256" s="381"/>
      <c r="AM256" s="326"/>
      <c r="AN256" s="326"/>
      <c r="AO256" s="381"/>
      <c r="AP256" s="381"/>
      <c r="AQ256" s="381"/>
    </row>
    <row r="257" spans="1:43" ht="14.25" hidden="1" x14ac:dyDescent="0.15">
      <c r="A257" s="379"/>
      <c r="B257" s="37"/>
      <c r="C257" s="324"/>
      <c r="D257" s="324"/>
      <c r="E257" s="324"/>
      <c r="F257" s="324"/>
      <c r="G257" s="324"/>
      <c r="H257" s="380"/>
      <c r="I257" s="380"/>
      <c r="J257" s="324"/>
      <c r="K257" s="324"/>
      <c r="L257" s="324"/>
      <c r="M257" s="324"/>
      <c r="N257" s="324"/>
      <c r="O257" s="324"/>
      <c r="P257" s="324"/>
      <c r="Q257" s="324"/>
      <c r="R257" s="40"/>
      <c r="S257" s="114"/>
      <c r="T257" s="114"/>
      <c r="U257" s="114"/>
      <c r="V257" s="114"/>
      <c r="W257" s="324"/>
      <c r="X257" s="114"/>
      <c r="Y257" s="114"/>
      <c r="Z257" s="326"/>
      <c r="AA257" s="381"/>
      <c r="AB257" s="381"/>
      <c r="AC257" s="381"/>
      <c r="AD257" s="381"/>
      <c r="AE257" s="381"/>
      <c r="AF257" s="381"/>
      <c r="AG257" s="381"/>
      <c r="AH257" s="326"/>
      <c r="AI257" s="326"/>
      <c r="AJ257" s="326"/>
      <c r="AK257" s="381"/>
      <c r="AL257" s="381"/>
      <c r="AM257" s="326"/>
      <c r="AN257" s="326"/>
      <c r="AO257" s="381"/>
      <c r="AP257" s="381"/>
      <c r="AQ257" s="381"/>
    </row>
    <row r="258" spans="1:43" ht="14.25" hidden="1" x14ac:dyDescent="0.15">
      <c r="A258" s="379"/>
      <c r="B258" s="37"/>
      <c r="C258" s="324"/>
      <c r="D258" s="324"/>
      <c r="E258" s="324"/>
      <c r="F258" s="324"/>
      <c r="G258" s="324"/>
      <c r="H258" s="380"/>
      <c r="I258" s="380"/>
      <c r="J258" s="324"/>
      <c r="K258" s="324"/>
      <c r="L258" s="324"/>
      <c r="M258" s="324"/>
      <c r="N258" s="324"/>
      <c r="O258" s="324"/>
      <c r="P258" s="324"/>
      <c r="Q258" s="324"/>
      <c r="R258" s="40"/>
      <c r="S258" s="114"/>
      <c r="T258" s="114"/>
      <c r="U258" s="114"/>
      <c r="V258" s="114"/>
      <c r="W258" s="324"/>
      <c r="X258" s="114"/>
      <c r="Y258" s="114"/>
      <c r="Z258" s="326"/>
      <c r="AA258" s="381"/>
      <c r="AB258" s="381"/>
      <c r="AC258" s="381"/>
      <c r="AD258" s="381"/>
      <c r="AE258" s="381"/>
      <c r="AF258" s="381"/>
      <c r="AG258" s="381"/>
      <c r="AH258" s="326"/>
      <c r="AI258" s="326"/>
      <c r="AJ258" s="326"/>
      <c r="AK258" s="381"/>
      <c r="AL258" s="381"/>
      <c r="AM258" s="326"/>
      <c r="AN258" s="326"/>
      <c r="AO258" s="381"/>
      <c r="AP258" s="381"/>
      <c r="AQ258" s="381"/>
    </row>
    <row r="259" spans="1:43" ht="14.25" hidden="1" x14ac:dyDescent="0.15">
      <c r="A259" s="379"/>
      <c r="B259" s="37"/>
      <c r="C259" s="324"/>
      <c r="D259" s="324"/>
      <c r="E259" s="324"/>
      <c r="F259" s="324"/>
      <c r="G259" s="324"/>
      <c r="H259" s="380"/>
      <c r="I259" s="380"/>
      <c r="J259" s="324"/>
      <c r="K259" s="324"/>
      <c r="L259" s="324"/>
      <c r="M259" s="324"/>
      <c r="N259" s="324"/>
      <c r="O259" s="324"/>
      <c r="P259" s="324"/>
      <c r="Q259" s="324"/>
      <c r="R259" s="40"/>
      <c r="S259" s="114"/>
      <c r="T259" s="114"/>
      <c r="U259" s="114"/>
      <c r="V259" s="114"/>
      <c r="W259" s="324"/>
      <c r="X259" s="114"/>
      <c r="Y259" s="114"/>
      <c r="Z259" s="326"/>
      <c r="AA259" s="381"/>
      <c r="AB259" s="381"/>
      <c r="AC259" s="381"/>
      <c r="AD259" s="381"/>
      <c r="AE259" s="381"/>
      <c r="AF259" s="381"/>
      <c r="AG259" s="381"/>
      <c r="AH259" s="326"/>
      <c r="AI259" s="326"/>
      <c r="AJ259" s="326"/>
      <c r="AK259" s="381"/>
      <c r="AL259" s="381"/>
      <c r="AM259" s="326"/>
      <c r="AN259" s="326"/>
      <c r="AO259" s="381"/>
      <c r="AP259" s="381"/>
      <c r="AQ259" s="381"/>
    </row>
    <row r="260" spans="1:43" ht="14.25" hidden="1" x14ac:dyDescent="0.15">
      <c r="A260" s="379"/>
      <c r="B260" s="37"/>
      <c r="C260" s="324"/>
      <c r="D260" s="324"/>
      <c r="E260" s="324"/>
      <c r="F260" s="324"/>
      <c r="G260" s="324"/>
      <c r="H260" s="380"/>
      <c r="I260" s="380"/>
      <c r="J260" s="324"/>
      <c r="K260" s="324"/>
      <c r="L260" s="324"/>
      <c r="M260" s="324"/>
      <c r="N260" s="324"/>
      <c r="O260" s="324"/>
      <c r="P260" s="324"/>
      <c r="Q260" s="324"/>
      <c r="R260" s="40"/>
      <c r="S260" s="114"/>
      <c r="T260" s="114"/>
      <c r="U260" s="114"/>
      <c r="V260" s="114"/>
      <c r="W260" s="324"/>
      <c r="X260" s="114"/>
      <c r="Y260" s="114"/>
      <c r="Z260" s="326"/>
      <c r="AA260" s="381"/>
      <c r="AB260" s="381"/>
      <c r="AC260" s="381"/>
      <c r="AD260" s="381"/>
      <c r="AE260" s="381"/>
      <c r="AF260" s="381"/>
      <c r="AG260" s="381"/>
      <c r="AH260" s="326"/>
      <c r="AI260" s="326"/>
      <c r="AJ260" s="326"/>
      <c r="AK260" s="381"/>
      <c r="AL260" s="381"/>
      <c r="AM260" s="326"/>
      <c r="AN260" s="326"/>
      <c r="AO260" s="381"/>
      <c r="AP260" s="381"/>
      <c r="AQ260" s="381"/>
    </row>
    <row r="261" spans="1:43" ht="14.25" hidden="1" x14ac:dyDescent="0.15">
      <c r="A261" s="379"/>
      <c r="B261" s="37"/>
      <c r="C261" s="324"/>
      <c r="D261" s="324"/>
      <c r="E261" s="324"/>
      <c r="F261" s="324"/>
      <c r="G261" s="324"/>
      <c r="H261" s="380"/>
      <c r="I261" s="380"/>
      <c r="J261" s="324"/>
      <c r="K261" s="324"/>
      <c r="L261" s="324"/>
      <c r="M261" s="324"/>
      <c r="N261" s="324"/>
      <c r="O261" s="324"/>
      <c r="P261" s="324"/>
      <c r="Q261" s="324"/>
      <c r="R261" s="40"/>
      <c r="S261" s="114"/>
      <c r="T261" s="114"/>
      <c r="U261" s="114"/>
      <c r="V261" s="114"/>
      <c r="W261" s="324"/>
      <c r="X261" s="114"/>
      <c r="Y261" s="114"/>
      <c r="Z261" s="326"/>
      <c r="AA261" s="381"/>
      <c r="AB261" s="381"/>
      <c r="AC261" s="381"/>
      <c r="AD261" s="381"/>
      <c r="AE261" s="381"/>
      <c r="AF261" s="381"/>
      <c r="AG261" s="381"/>
      <c r="AH261" s="326"/>
      <c r="AI261" s="326"/>
      <c r="AJ261" s="326"/>
      <c r="AK261" s="381"/>
      <c r="AL261" s="381"/>
      <c r="AM261" s="326"/>
      <c r="AN261" s="326"/>
      <c r="AO261" s="381"/>
      <c r="AP261" s="381"/>
      <c r="AQ261" s="381"/>
    </row>
    <row r="262" spans="1:43" ht="14.25" hidden="1" x14ac:dyDescent="0.15">
      <c r="A262" s="379"/>
      <c r="B262" s="37"/>
      <c r="C262" s="324"/>
      <c r="D262" s="324"/>
      <c r="E262" s="324"/>
      <c r="F262" s="324"/>
      <c r="G262" s="324"/>
      <c r="H262" s="380"/>
      <c r="I262" s="380"/>
      <c r="J262" s="324"/>
      <c r="K262" s="324"/>
      <c r="L262" s="324"/>
      <c r="M262" s="324"/>
      <c r="N262" s="324"/>
      <c r="O262" s="324"/>
      <c r="P262" s="324"/>
      <c r="Q262" s="324"/>
      <c r="R262" s="40"/>
      <c r="S262" s="114"/>
      <c r="T262" s="114"/>
      <c r="U262" s="114"/>
      <c r="V262" s="114"/>
      <c r="W262" s="324"/>
      <c r="X262" s="114"/>
      <c r="Y262" s="114"/>
      <c r="Z262" s="326"/>
      <c r="AA262" s="381"/>
      <c r="AB262" s="381"/>
      <c r="AC262" s="381"/>
      <c r="AD262" s="381"/>
      <c r="AE262" s="381"/>
      <c r="AF262" s="381"/>
      <c r="AG262" s="381"/>
      <c r="AH262" s="326"/>
      <c r="AI262" s="326"/>
      <c r="AJ262" s="326"/>
      <c r="AK262" s="381"/>
      <c r="AL262" s="381"/>
      <c r="AM262" s="326"/>
      <c r="AN262" s="326"/>
      <c r="AO262" s="381"/>
      <c r="AP262" s="381"/>
      <c r="AQ262" s="381"/>
    </row>
    <row r="263" spans="1:43" ht="14.25" hidden="1" x14ac:dyDescent="0.15">
      <c r="A263" s="379"/>
      <c r="B263" s="37"/>
      <c r="C263" s="324"/>
      <c r="D263" s="324"/>
      <c r="E263" s="324"/>
      <c r="F263" s="324"/>
      <c r="G263" s="324"/>
      <c r="H263" s="380"/>
      <c r="I263" s="380"/>
      <c r="J263" s="324"/>
      <c r="K263" s="324"/>
      <c r="L263" s="324"/>
      <c r="M263" s="324"/>
      <c r="N263" s="324"/>
      <c r="O263" s="324"/>
      <c r="P263" s="324"/>
      <c r="Q263" s="324"/>
      <c r="R263" s="40"/>
      <c r="S263" s="114"/>
      <c r="T263" s="114"/>
      <c r="U263" s="114"/>
      <c r="V263" s="114"/>
      <c r="W263" s="324"/>
      <c r="X263" s="114"/>
      <c r="Y263" s="114"/>
      <c r="Z263" s="326"/>
      <c r="AA263" s="381"/>
      <c r="AB263" s="381"/>
      <c r="AC263" s="381"/>
      <c r="AD263" s="381"/>
      <c r="AE263" s="381"/>
      <c r="AF263" s="381"/>
      <c r="AG263" s="381"/>
      <c r="AH263" s="326"/>
      <c r="AI263" s="326"/>
      <c r="AJ263" s="326"/>
      <c r="AK263" s="381"/>
      <c r="AL263" s="381"/>
      <c r="AM263" s="326"/>
      <c r="AN263" s="326"/>
      <c r="AO263" s="381"/>
      <c r="AP263" s="381"/>
      <c r="AQ263" s="381"/>
    </row>
    <row r="264" spans="1:43" ht="14.25" hidden="1" x14ac:dyDescent="0.15">
      <c r="A264" s="379"/>
      <c r="B264" s="37"/>
      <c r="C264" s="324"/>
      <c r="D264" s="324"/>
      <c r="E264" s="324"/>
      <c r="F264" s="324"/>
      <c r="G264" s="324"/>
      <c r="H264" s="380"/>
      <c r="I264" s="380"/>
      <c r="J264" s="324"/>
      <c r="K264" s="324"/>
      <c r="L264" s="324"/>
      <c r="M264" s="324"/>
      <c r="N264" s="324"/>
      <c r="O264" s="324"/>
      <c r="P264" s="324"/>
      <c r="Q264" s="324"/>
      <c r="R264" s="40"/>
      <c r="S264" s="114"/>
      <c r="T264" s="114"/>
      <c r="U264" s="114"/>
      <c r="V264" s="114"/>
      <c r="W264" s="324"/>
      <c r="X264" s="114"/>
      <c r="Y264" s="114"/>
      <c r="Z264" s="326"/>
      <c r="AA264" s="381"/>
      <c r="AB264" s="381"/>
      <c r="AC264" s="381"/>
      <c r="AD264" s="381"/>
      <c r="AE264" s="381"/>
      <c r="AF264" s="381"/>
      <c r="AG264" s="381"/>
      <c r="AH264" s="326"/>
      <c r="AI264" s="326"/>
      <c r="AJ264" s="326"/>
      <c r="AK264" s="381"/>
      <c r="AL264" s="381"/>
      <c r="AM264" s="326"/>
      <c r="AN264" s="326"/>
      <c r="AO264" s="381"/>
      <c r="AP264" s="381"/>
      <c r="AQ264" s="381"/>
    </row>
    <row r="265" spans="1:43" ht="14.25" hidden="1" x14ac:dyDescent="0.15">
      <c r="A265" s="379"/>
      <c r="B265" s="37"/>
      <c r="C265" s="324"/>
      <c r="D265" s="324"/>
      <c r="E265" s="324"/>
      <c r="F265" s="324"/>
      <c r="G265" s="324"/>
      <c r="H265" s="380"/>
      <c r="I265" s="380"/>
      <c r="J265" s="324"/>
      <c r="K265" s="324"/>
      <c r="L265" s="324"/>
      <c r="M265" s="324"/>
      <c r="N265" s="324"/>
      <c r="O265" s="324"/>
      <c r="P265" s="324"/>
      <c r="Q265" s="324"/>
      <c r="R265" s="40"/>
      <c r="S265" s="114"/>
      <c r="T265" s="114"/>
      <c r="U265" s="114"/>
      <c r="V265" s="114"/>
      <c r="W265" s="324"/>
      <c r="X265" s="114"/>
      <c r="Y265" s="114"/>
      <c r="Z265" s="326"/>
      <c r="AA265" s="381"/>
      <c r="AB265" s="381"/>
      <c r="AC265" s="381"/>
      <c r="AD265" s="381"/>
      <c r="AE265" s="381"/>
      <c r="AF265" s="381"/>
      <c r="AG265" s="381"/>
      <c r="AH265" s="326"/>
      <c r="AI265" s="326"/>
      <c r="AJ265" s="326"/>
      <c r="AK265" s="381"/>
      <c r="AL265" s="381"/>
      <c r="AM265" s="326"/>
      <c r="AN265" s="326"/>
      <c r="AO265" s="381"/>
      <c r="AP265" s="381"/>
      <c r="AQ265" s="381"/>
    </row>
    <row r="266" spans="1:43" ht="14.25" hidden="1" x14ac:dyDescent="0.15">
      <c r="A266" s="379"/>
      <c r="B266" s="37"/>
      <c r="C266" s="324"/>
      <c r="D266" s="324"/>
      <c r="E266" s="324"/>
      <c r="F266" s="324"/>
      <c r="G266" s="324"/>
      <c r="H266" s="380"/>
      <c r="I266" s="380"/>
      <c r="J266" s="324"/>
      <c r="K266" s="324"/>
      <c r="L266" s="324"/>
      <c r="M266" s="324"/>
      <c r="N266" s="324"/>
      <c r="O266" s="324"/>
      <c r="P266" s="324"/>
      <c r="Q266" s="324"/>
      <c r="R266" s="40"/>
      <c r="S266" s="114"/>
      <c r="T266" s="114"/>
      <c r="U266" s="114"/>
      <c r="V266" s="114"/>
      <c r="W266" s="324"/>
      <c r="X266" s="114"/>
      <c r="Y266" s="114"/>
      <c r="Z266" s="326"/>
      <c r="AA266" s="381"/>
      <c r="AB266" s="381"/>
      <c r="AC266" s="381"/>
      <c r="AD266" s="381"/>
      <c r="AE266" s="381"/>
      <c r="AF266" s="381"/>
      <c r="AG266" s="381"/>
      <c r="AH266" s="326"/>
      <c r="AI266" s="326"/>
      <c r="AJ266" s="326"/>
      <c r="AK266" s="381"/>
      <c r="AL266" s="381"/>
      <c r="AM266" s="326"/>
      <c r="AN266" s="326"/>
      <c r="AO266" s="381"/>
      <c r="AP266" s="381"/>
      <c r="AQ266" s="381"/>
    </row>
    <row r="267" spans="1:43" ht="14.25" hidden="1" x14ac:dyDescent="0.15">
      <c r="A267" s="379"/>
      <c r="B267" s="37"/>
      <c r="C267" s="324"/>
      <c r="D267" s="324"/>
      <c r="E267" s="324"/>
      <c r="F267" s="324"/>
      <c r="G267" s="324"/>
      <c r="H267" s="380"/>
      <c r="I267" s="380"/>
      <c r="J267" s="324"/>
      <c r="K267" s="324"/>
      <c r="L267" s="324"/>
      <c r="M267" s="324"/>
      <c r="N267" s="324"/>
      <c r="O267" s="324"/>
      <c r="P267" s="324"/>
      <c r="Q267" s="324"/>
      <c r="R267" s="40"/>
      <c r="S267" s="114"/>
      <c r="T267" s="114"/>
      <c r="U267" s="114"/>
      <c r="V267" s="114"/>
      <c r="W267" s="324"/>
      <c r="X267" s="114"/>
      <c r="Y267" s="114"/>
      <c r="Z267" s="326"/>
      <c r="AA267" s="381"/>
      <c r="AB267" s="381"/>
      <c r="AC267" s="381"/>
      <c r="AD267" s="381"/>
      <c r="AE267" s="381"/>
      <c r="AF267" s="381"/>
      <c r="AG267" s="381"/>
      <c r="AH267" s="326"/>
      <c r="AI267" s="326"/>
      <c r="AJ267" s="326"/>
      <c r="AK267" s="381"/>
      <c r="AL267" s="381"/>
      <c r="AM267" s="326"/>
      <c r="AN267" s="326"/>
      <c r="AO267" s="381"/>
      <c r="AP267" s="381"/>
      <c r="AQ267" s="381"/>
    </row>
    <row r="268" spans="1:43" ht="14.25" hidden="1" x14ac:dyDescent="0.15">
      <c r="A268" s="379"/>
      <c r="B268" s="37"/>
      <c r="C268" s="324"/>
      <c r="D268" s="324"/>
      <c r="E268" s="324"/>
      <c r="F268" s="324"/>
      <c r="G268" s="324"/>
      <c r="H268" s="380"/>
      <c r="I268" s="380"/>
      <c r="J268" s="324"/>
      <c r="K268" s="324"/>
      <c r="L268" s="324"/>
      <c r="M268" s="324"/>
      <c r="N268" s="324"/>
      <c r="O268" s="324"/>
      <c r="P268" s="324"/>
      <c r="Q268" s="324"/>
      <c r="R268" s="40"/>
      <c r="S268" s="114"/>
      <c r="T268" s="114"/>
      <c r="U268" s="114"/>
      <c r="V268" s="114"/>
      <c r="W268" s="324"/>
      <c r="X268" s="114"/>
      <c r="Y268" s="114"/>
      <c r="Z268" s="326"/>
      <c r="AA268" s="381"/>
      <c r="AB268" s="381"/>
      <c r="AC268" s="381"/>
      <c r="AD268" s="381"/>
      <c r="AE268" s="381"/>
      <c r="AF268" s="381"/>
      <c r="AG268" s="381"/>
      <c r="AH268" s="326"/>
      <c r="AI268" s="326"/>
      <c r="AJ268" s="326"/>
      <c r="AK268" s="381"/>
      <c r="AL268" s="381"/>
      <c r="AM268" s="326"/>
      <c r="AN268" s="326"/>
      <c r="AO268" s="381"/>
      <c r="AP268" s="381"/>
      <c r="AQ268" s="381"/>
    </row>
    <row r="269" spans="1:43" ht="14.25" hidden="1" x14ac:dyDescent="0.15">
      <c r="A269" s="379"/>
      <c r="B269" s="37"/>
      <c r="C269" s="324"/>
      <c r="D269" s="324"/>
      <c r="E269" s="324"/>
      <c r="F269" s="324"/>
      <c r="G269" s="324"/>
      <c r="H269" s="380"/>
      <c r="I269" s="380"/>
      <c r="J269" s="324"/>
      <c r="K269" s="324"/>
      <c r="L269" s="324"/>
      <c r="M269" s="324"/>
      <c r="N269" s="324"/>
      <c r="O269" s="324"/>
      <c r="P269" s="324"/>
      <c r="Q269" s="324"/>
      <c r="R269" s="40"/>
      <c r="S269" s="114"/>
      <c r="T269" s="114"/>
      <c r="U269" s="114"/>
      <c r="V269" s="114"/>
      <c r="W269" s="324"/>
      <c r="X269" s="114"/>
      <c r="Y269" s="114"/>
      <c r="Z269" s="326"/>
      <c r="AA269" s="381"/>
      <c r="AB269" s="381"/>
      <c r="AC269" s="381"/>
      <c r="AD269" s="381"/>
      <c r="AE269" s="381"/>
      <c r="AF269" s="381"/>
      <c r="AG269" s="381"/>
      <c r="AH269" s="326"/>
      <c r="AI269" s="326"/>
      <c r="AJ269" s="326"/>
      <c r="AK269" s="381"/>
      <c r="AL269" s="381"/>
      <c r="AM269" s="326"/>
      <c r="AN269" s="326"/>
      <c r="AO269" s="381"/>
      <c r="AP269" s="381"/>
      <c r="AQ269" s="381"/>
    </row>
    <row r="270" spans="1:43" ht="14.25" hidden="1" x14ac:dyDescent="0.15">
      <c r="A270" s="379"/>
      <c r="B270" s="37"/>
      <c r="C270" s="324"/>
      <c r="D270" s="324"/>
      <c r="E270" s="324"/>
      <c r="F270" s="324"/>
      <c r="G270" s="324"/>
      <c r="H270" s="380"/>
      <c r="I270" s="380"/>
      <c r="J270" s="324"/>
      <c r="K270" s="324"/>
      <c r="L270" s="324"/>
      <c r="M270" s="324"/>
      <c r="N270" s="324"/>
      <c r="O270" s="324"/>
      <c r="P270" s="324"/>
      <c r="Q270" s="324"/>
      <c r="R270" s="40"/>
      <c r="S270" s="114"/>
      <c r="T270" s="114"/>
      <c r="U270" s="114"/>
      <c r="V270" s="114"/>
      <c r="W270" s="324"/>
      <c r="X270" s="114"/>
      <c r="Y270" s="114"/>
      <c r="Z270" s="326"/>
      <c r="AA270" s="381"/>
      <c r="AB270" s="381"/>
      <c r="AC270" s="381"/>
      <c r="AD270" s="381"/>
      <c r="AE270" s="381"/>
      <c r="AF270" s="381"/>
      <c r="AG270" s="381"/>
      <c r="AH270" s="326"/>
      <c r="AI270" s="326"/>
      <c r="AJ270" s="326"/>
      <c r="AK270" s="381"/>
      <c r="AL270" s="381"/>
      <c r="AM270" s="326"/>
      <c r="AN270" s="326"/>
      <c r="AO270" s="381"/>
      <c r="AP270" s="381"/>
      <c r="AQ270" s="381"/>
    </row>
    <row r="271" spans="1:43" ht="14.25" hidden="1" x14ac:dyDescent="0.15">
      <c r="A271" s="379"/>
      <c r="B271" s="37"/>
      <c r="C271" s="324"/>
      <c r="D271" s="324"/>
      <c r="E271" s="324"/>
      <c r="F271" s="324"/>
      <c r="G271" s="324"/>
      <c r="H271" s="380"/>
      <c r="I271" s="380"/>
      <c r="J271" s="324"/>
      <c r="K271" s="324"/>
      <c r="L271" s="324"/>
      <c r="M271" s="324"/>
      <c r="N271" s="324"/>
      <c r="O271" s="324"/>
      <c r="P271" s="324"/>
      <c r="Q271" s="324"/>
      <c r="R271" s="40"/>
      <c r="S271" s="114"/>
      <c r="T271" s="114"/>
      <c r="U271" s="114"/>
      <c r="V271" s="114"/>
      <c r="W271" s="324"/>
      <c r="X271" s="114"/>
      <c r="Y271" s="114"/>
      <c r="Z271" s="326"/>
      <c r="AA271" s="381"/>
      <c r="AB271" s="381"/>
      <c r="AC271" s="381"/>
      <c r="AD271" s="381"/>
      <c r="AE271" s="381"/>
      <c r="AF271" s="381"/>
      <c r="AG271" s="381"/>
      <c r="AH271" s="326"/>
      <c r="AI271" s="326"/>
      <c r="AJ271" s="326"/>
      <c r="AK271" s="381"/>
      <c r="AL271" s="381"/>
      <c r="AM271" s="326"/>
      <c r="AN271" s="326"/>
      <c r="AO271" s="381"/>
      <c r="AP271" s="381"/>
      <c r="AQ271" s="381"/>
    </row>
    <row r="272" spans="1:43" ht="14.25" hidden="1" x14ac:dyDescent="0.15">
      <c r="A272" s="379"/>
      <c r="B272" s="37"/>
      <c r="C272" s="324"/>
      <c r="D272" s="324"/>
      <c r="E272" s="324"/>
      <c r="F272" s="324"/>
      <c r="G272" s="324"/>
      <c r="H272" s="380"/>
      <c r="I272" s="380"/>
      <c r="J272" s="324"/>
      <c r="K272" s="324"/>
      <c r="L272" s="324"/>
      <c r="M272" s="324"/>
      <c r="N272" s="324"/>
      <c r="O272" s="324"/>
      <c r="P272" s="324"/>
      <c r="Q272" s="324"/>
      <c r="R272" s="40"/>
      <c r="S272" s="114"/>
      <c r="T272" s="114"/>
      <c r="U272" s="114"/>
      <c r="V272" s="114"/>
      <c r="W272" s="324"/>
      <c r="X272" s="114"/>
      <c r="Y272" s="114"/>
      <c r="Z272" s="326"/>
      <c r="AA272" s="381"/>
      <c r="AB272" s="381"/>
      <c r="AC272" s="381"/>
      <c r="AD272" s="381"/>
      <c r="AE272" s="381"/>
      <c r="AF272" s="381"/>
      <c r="AG272" s="381"/>
      <c r="AH272" s="326"/>
      <c r="AI272" s="326"/>
      <c r="AJ272" s="326"/>
      <c r="AK272" s="381"/>
      <c r="AL272" s="381"/>
      <c r="AM272" s="326"/>
      <c r="AN272" s="326"/>
      <c r="AO272" s="381"/>
      <c r="AP272" s="381"/>
      <c r="AQ272" s="381"/>
    </row>
    <row r="273" spans="1:43" ht="14.25" hidden="1" x14ac:dyDescent="0.15">
      <c r="A273" s="379"/>
      <c r="B273" s="37"/>
      <c r="C273" s="324"/>
      <c r="D273" s="324"/>
      <c r="E273" s="324"/>
      <c r="F273" s="324"/>
      <c r="G273" s="324"/>
      <c r="H273" s="380"/>
      <c r="I273" s="380"/>
      <c r="J273" s="324"/>
      <c r="K273" s="324"/>
      <c r="L273" s="324"/>
      <c r="M273" s="324"/>
      <c r="N273" s="324"/>
      <c r="O273" s="324"/>
      <c r="P273" s="324"/>
      <c r="Q273" s="324"/>
      <c r="R273" s="40"/>
      <c r="S273" s="114"/>
      <c r="T273" s="114"/>
      <c r="U273" s="114"/>
      <c r="V273" s="114"/>
      <c r="W273" s="324"/>
      <c r="X273" s="114"/>
      <c r="Y273" s="114"/>
      <c r="Z273" s="326"/>
      <c r="AA273" s="381"/>
      <c r="AB273" s="381"/>
      <c r="AC273" s="381"/>
      <c r="AD273" s="381"/>
      <c r="AE273" s="381"/>
      <c r="AF273" s="381"/>
      <c r="AG273" s="381"/>
      <c r="AH273" s="326"/>
      <c r="AI273" s="326"/>
      <c r="AJ273" s="326"/>
      <c r="AK273" s="381"/>
      <c r="AL273" s="381"/>
      <c r="AM273" s="326"/>
      <c r="AN273" s="326"/>
      <c r="AO273" s="381"/>
      <c r="AP273" s="381"/>
      <c r="AQ273" s="381"/>
    </row>
    <row r="274" spans="1:43" ht="14.25" hidden="1" x14ac:dyDescent="0.15">
      <c r="A274" s="379"/>
      <c r="B274" s="37"/>
      <c r="C274" s="324"/>
      <c r="D274" s="324"/>
      <c r="E274" s="324"/>
      <c r="F274" s="324"/>
      <c r="G274" s="324"/>
      <c r="H274" s="380"/>
      <c r="I274" s="380"/>
      <c r="J274" s="324"/>
      <c r="K274" s="324"/>
      <c r="L274" s="324"/>
      <c r="M274" s="324"/>
      <c r="N274" s="324"/>
      <c r="O274" s="324"/>
      <c r="P274" s="324"/>
      <c r="Q274" s="324"/>
      <c r="R274" s="40"/>
      <c r="S274" s="114"/>
      <c r="T274" s="114"/>
      <c r="U274" s="114"/>
      <c r="V274" s="114"/>
      <c r="W274" s="324"/>
      <c r="X274" s="114"/>
      <c r="Y274" s="114"/>
      <c r="Z274" s="326"/>
      <c r="AA274" s="381"/>
      <c r="AB274" s="381"/>
      <c r="AC274" s="381"/>
      <c r="AD274" s="381"/>
      <c r="AE274" s="381"/>
      <c r="AF274" s="381"/>
      <c r="AG274" s="381"/>
      <c r="AH274" s="326"/>
      <c r="AI274" s="326"/>
      <c r="AJ274" s="326"/>
      <c r="AK274" s="381"/>
      <c r="AL274" s="381"/>
      <c r="AM274" s="326"/>
      <c r="AN274" s="326"/>
      <c r="AO274" s="381"/>
      <c r="AP274" s="381"/>
      <c r="AQ274" s="381"/>
    </row>
    <row r="275" spans="1:43" ht="14.25" hidden="1" x14ac:dyDescent="0.15">
      <c r="A275" s="379"/>
      <c r="B275" s="37"/>
      <c r="C275" s="324"/>
      <c r="D275" s="324"/>
      <c r="E275" s="324"/>
      <c r="F275" s="324"/>
      <c r="G275" s="324"/>
      <c r="H275" s="380"/>
      <c r="I275" s="380"/>
      <c r="J275" s="324"/>
      <c r="K275" s="324"/>
      <c r="L275" s="324"/>
      <c r="M275" s="324"/>
      <c r="N275" s="324"/>
      <c r="O275" s="324"/>
      <c r="P275" s="324"/>
      <c r="Q275" s="324"/>
      <c r="R275" s="40"/>
      <c r="S275" s="114"/>
      <c r="T275" s="114"/>
      <c r="U275" s="114"/>
      <c r="V275" s="114"/>
      <c r="W275" s="324"/>
      <c r="X275" s="114"/>
      <c r="Y275" s="114"/>
      <c r="Z275" s="326"/>
      <c r="AA275" s="381"/>
      <c r="AB275" s="381"/>
      <c r="AC275" s="381"/>
      <c r="AD275" s="381"/>
      <c r="AE275" s="381"/>
      <c r="AF275" s="381"/>
      <c r="AG275" s="381"/>
      <c r="AH275" s="326"/>
      <c r="AI275" s="326"/>
      <c r="AJ275" s="326"/>
      <c r="AK275" s="381"/>
      <c r="AL275" s="381"/>
      <c r="AM275" s="326"/>
      <c r="AN275" s="326"/>
      <c r="AO275" s="381"/>
      <c r="AP275" s="381"/>
      <c r="AQ275" s="381"/>
    </row>
    <row r="276" spans="1:43" ht="14.25" hidden="1" x14ac:dyDescent="0.15">
      <c r="A276" s="379"/>
      <c r="B276" s="37"/>
      <c r="C276" s="324"/>
      <c r="D276" s="324"/>
      <c r="E276" s="324"/>
      <c r="F276" s="324"/>
      <c r="G276" s="324"/>
      <c r="H276" s="380"/>
      <c r="I276" s="380"/>
      <c r="J276" s="324"/>
      <c r="K276" s="324"/>
      <c r="L276" s="324"/>
      <c r="M276" s="324"/>
      <c r="N276" s="324"/>
      <c r="O276" s="324"/>
      <c r="P276" s="324"/>
      <c r="Q276" s="324"/>
      <c r="R276" s="40"/>
      <c r="S276" s="114"/>
      <c r="T276" s="114"/>
      <c r="U276" s="114"/>
      <c r="V276" s="114"/>
      <c r="W276" s="324"/>
      <c r="X276" s="114"/>
      <c r="Y276" s="114"/>
      <c r="Z276" s="326"/>
      <c r="AA276" s="381"/>
      <c r="AB276" s="381"/>
      <c r="AC276" s="381"/>
      <c r="AD276" s="381"/>
      <c r="AE276" s="381"/>
      <c r="AF276" s="381"/>
      <c r="AG276" s="381"/>
      <c r="AH276" s="326"/>
      <c r="AI276" s="326"/>
      <c r="AJ276" s="326"/>
      <c r="AK276" s="381"/>
      <c r="AL276" s="381"/>
      <c r="AM276" s="326"/>
      <c r="AN276" s="326"/>
      <c r="AO276" s="381"/>
      <c r="AP276" s="381"/>
      <c r="AQ276" s="381"/>
    </row>
    <row r="277" spans="1:43" ht="14.25" hidden="1" x14ac:dyDescent="0.15">
      <c r="A277" s="379"/>
      <c r="B277" s="37"/>
      <c r="C277" s="324"/>
      <c r="D277" s="324"/>
      <c r="E277" s="324"/>
      <c r="F277" s="324"/>
      <c r="G277" s="324"/>
      <c r="H277" s="380"/>
      <c r="I277" s="380"/>
      <c r="J277" s="324"/>
      <c r="K277" s="324"/>
      <c r="L277" s="324"/>
      <c r="M277" s="324"/>
      <c r="N277" s="324"/>
      <c r="O277" s="324"/>
      <c r="P277" s="324"/>
      <c r="Q277" s="324"/>
      <c r="R277" s="40"/>
      <c r="S277" s="114"/>
      <c r="T277" s="114"/>
      <c r="U277" s="114"/>
      <c r="V277" s="114"/>
      <c r="W277" s="324"/>
      <c r="X277" s="114"/>
      <c r="Y277" s="114"/>
      <c r="Z277" s="326"/>
      <c r="AA277" s="381"/>
      <c r="AB277" s="381"/>
      <c r="AC277" s="381"/>
      <c r="AD277" s="381"/>
      <c r="AE277" s="381"/>
      <c r="AF277" s="381"/>
      <c r="AG277" s="381"/>
      <c r="AH277" s="326"/>
      <c r="AI277" s="326"/>
      <c r="AJ277" s="326"/>
      <c r="AK277" s="381"/>
      <c r="AL277" s="381"/>
      <c r="AM277" s="326"/>
      <c r="AN277" s="326"/>
      <c r="AO277" s="381"/>
      <c r="AP277" s="381"/>
      <c r="AQ277" s="381"/>
    </row>
    <row r="278" spans="1:43" ht="14.25" hidden="1" x14ac:dyDescent="0.15">
      <c r="A278" s="379"/>
      <c r="B278" s="37"/>
      <c r="C278" s="324"/>
      <c r="D278" s="324"/>
      <c r="E278" s="324"/>
      <c r="F278" s="324"/>
      <c r="G278" s="324"/>
      <c r="H278" s="380"/>
      <c r="I278" s="380"/>
      <c r="J278" s="324"/>
      <c r="K278" s="324"/>
      <c r="L278" s="324"/>
      <c r="M278" s="324"/>
      <c r="N278" s="324"/>
      <c r="O278" s="324"/>
      <c r="P278" s="324"/>
      <c r="Q278" s="324"/>
      <c r="R278" s="40"/>
      <c r="S278" s="114"/>
      <c r="T278" s="114"/>
      <c r="U278" s="114"/>
      <c r="V278" s="114"/>
      <c r="W278" s="324"/>
      <c r="X278" s="114"/>
      <c r="Y278" s="114"/>
      <c r="Z278" s="326"/>
      <c r="AA278" s="381"/>
      <c r="AB278" s="381"/>
      <c r="AC278" s="381"/>
      <c r="AD278" s="381"/>
      <c r="AE278" s="381"/>
      <c r="AF278" s="381"/>
      <c r="AG278" s="381"/>
      <c r="AH278" s="326"/>
      <c r="AI278" s="326"/>
      <c r="AJ278" s="326"/>
      <c r="AK278" s="381"/>
      <c r="AL278" s="381"/>
      <c r="AM278" s="326"/>
      <c r="AN278" s="326"/>
      <c r="AO278" s="381"/>
      <c r="AP278" s="381"/>
      <c r="AQ278" s="381"/>
    </row>
    <row r="279" spans="1:43" ht="14.25" hidden="1" x14ac:dyDescent="0.15">
      <c r="A279" s="379"/>
      <c r="B279" s="37"/>
      <c r="C279" s="324"/>
      <c r="D279" s="324"/>
      <c r="E279" s="324"/>
      <c r="F279" s="324"/>
      <c r="G279" s="324"/>
      <c r="H279" s="380"/>
      <c r="I279" s="380"/>
      <c r="J279" s="324"/>
      <c r="K279" s="324"/>
      <c r="L279" s="324"/>
      <c r="M279" s="324"/>
      <c r="N279" s="324"/>
      <c r="O279" s="324"/>
      <c r="P279" s="324"/>
      <c r="Q279" s="324"/>
      <c r="R279" s="40"/>
      <c r="S279" s="114"/>
      <c r="T279" s="114"/>
      <c r="U279" s="114"/>
      <c r="V279" s="114"/>
      <c r="W279" s="324"/>
      <c r="X279" s="114"/>
      <c r="Y279" s="114"/>
      <c r="Z279" s="326"/>
      <c r="AA279" s="381"/>
      <c r="AB279" s="381"/>
      <c r="AC279" s="381"/>
      <c r="AD279" s="381"/>
      <c r="AE279" s="381"/>
      <c r="AF279" s="381"/>
      <c r="AG279" s="381"/>
      <c r="AH279" s="326"/>
      <c r="AI279" s="326"/>
      <c r="AJ279" s="326"/>
      <c r="AK279" s="381"/>
      <c r="AL279" s="381"/>
      <c r="AM279" s="326"/>
      <c r="AN279" s="326"/>
      <c r="AO279" s="381"/>
      <c r="AP279" s="381"/>
      <c r="AQ279" s="381"/>
    </row>
    <row r="280" spans="1:43" ht="14.25" hidden="1" x14ac:dyDescent="0.15">
      <c r="A280" s="379"/>
      <c r="B280" s="37"/>
      <c r="C280" s="324"/>
      <c r="D280" s="324"/>
      <c r="E280" s="324"/>
      <c r="F280" s="324"/>
      <c r="G280" s="324"/>
      <c r="H280" s="380"/>
      <c r="I280" s="380"/>
      <c r="J280" s="324"/>
      <c r="K280" s="324"/>
      <c r="L280" s="324"/>
      <c r="M280" s="324"/>
      <c r="N280" s="324"/>
      <c r="O280" s="324"/>
      <c r="P280" s="324"/>
      <c r="Q280" s="324"/>
      <c r="R280" s="40"/>
      <c r="S280" s="114"/>
      <c r="T280" s="114"/>
      <c r="U280" s="114"/>
      <c r="V280" s="114"/>
      <c r="W280" s="324"/>
      <c r="X280" s="114"/>
      <c r="Y280" s="114"/>
      <c r="Z280" s="326"/>
      <c r="AA280" s="381"/>
      <c r="AB280" s="381"/>
      <c r="AC280" s="381"/>
      <c r="AD280" s="381"/>
      <c r="AE280" s="381"/>
      <c r="AF280" s="381"/>
      <c r="AG280" s="381"/>
      <c r="AH280" s="326"/>
      <c r="AI280" s="326"/>
      <c r="AJ280" s="326"/>
      <c r="AK280" s="381"/>
      <c r="AL280" s="381"/>
      <c r="AM280" s="326"/>
      <c r="AN280" s="326"/>
      <c r="AO280" s="381"/>
      <c r="AP280" s="381"/>
      <c r="AQ280" s="381"/>
    </row>
    <row r="281" spans="1:43" ht="14.25" hidden="1" x14ac:dyDescent="0.15">
      <c r="A281" s="379"/>
      <c r="B281" s="37"/>
      <c r="C281" s="324"/>
      <c r="D281" s="324"/>
      <c r="E281" s="324"/>
      <c r="F281" s="324"/>
      <c r="G281" s="324"/>
      <c r="H281" s="380"/>
      <c r="I281" s="380"/>
      <c r="J281" s="324"/>
      <c r="K281" s="324"/>
      <c r="L281" s="324"/>
      <c r="M281" s="324"/>
      <c r="N281" s="324"/>
      <c r="O281" s="324"/>
      <c r="P281" s="324"/>
      <c r="Q281" s="324"/>
      <c r="R281" s="40"/>
      <c r="S281" s="114"/>
      <c r="T281" s="114"/>
      <c r="U281" s="114"/>
      <c r="V281" s="114"/>
      <c r="W281" s="324"/>
      <c r="X281" s="114"/>
      <c r="Y281" s="114"/>
      <c r="Z281" s="326"/>
      <c r="AA281" s="381"/>
      <c r="AB281" s="381"/>
      <c r="AC281" s="381"/>
      <c r="AD281" s="381"/>
      <c r="AE281" s="381"/>
      <c r="AF281" s="381"/>
      <c r="AG281" s="381"/>
      <c r="AH281" s="326"/>
      <c r="AI281" s="326"/>
      <c r="AJ281" s="326"/>
      <c r="AK281" s="381"/>
      <c r="AL281" s="381"/>
      <c r="AM281" s="326"/>
      <c r="AN281" s="326"/>
      <c r="AO281" s="381"/>
      <c r="AP281" s="381"/>
      <c r="AQ281" s="381"/>
    </row>
    <row r="282" spans="1:43" ht="14.25" hidden="1" x14ac:dyDescent="0.15">
      <c r="A282" s="379"/>
      <c r="B282" s="37"/>
      <c r="C282" s="324"/>
      <c r="D282" s="324"/>
      <c r="E282" s="324"/>
      <c r="F282" s="324"/>
      <c r="G282" s="324"/>
      <c r="H282" s="380"/>
      <c r="I282" s="380"/>
      <c r="J282" s="324"/>
      <c r="K282" s="324"/>
      <c r="L282" s="324"/>
      <c r="M282" s="324"/>
      <c r="N282" s="324"/>
      <c r="O282" s="324"/>
      <c r="P282" s="324"/>
      <c r="Q282" s="324"/>
      <c r="R282" s="40"/>
      <c r="S282" s="114"/>
      <c r="T282" s="114"/>
      <c r="U282" s="114"/>
      <c r="V282" s="114"/>
      <c r="W282" s="324"/>
      <c r="X282" s="114"/>
      <c r="Y282" s="114"/>
      <c r="Z282" s="326"/>
      <c r="AA282" s="381"/>
      <c r="AB282" s="381"/>
      <c r="AC282" s="381"/>
      <c r="AD282" s="381"/>
      <c r="AE282" s="381"/>
      <c r="AF282" s="381"/>
      <c r="AG282" s="381"/>
      <c r="AH282" s="326"/>
      <c r="AI282" s="326"/>
      <c r="AJ282" s="326"/>
      <c r="AK282" s="381"/>
      <c r="AL282" s="381"/>
      <c r="AM282" s="326"/>
      <c r="AN282" s="326"/>
      <c r="AO282" s="381"/>
      <c r="AP282" s="381"/>
      <c r="AQ282" s="381"/>
    </row>
    <row r="283" spans="1:43" ht="14.25" hidden="1" x14ac:dyDescent="0.15">
      <c r="A283" s="379"/>
      <c r="B283" s="37"/>
      <c r="C283" s="324"/>
      <c r="D283" s="324"/>
      <c r="E283" s="324"/>
      <c r="F283" s="324"/>
      <c r="G283" s="324"/>
      <c r="H283" s="380"/>
      <c r="I283" s="380"/>
      <c r="J283" s="324"/>
      <c r="K283" s="324"/>
      <c r="L283" s="324"/>
      <c r="M283" s="324"/>
      <c r="N283" s="324"/>
      <c r="O283" s="324"/>
      <c r="P283" s="324"/>
      <c r="Q283" s="324"/>
      <c r="R283" s="40"/>
      <c r="S283" s="114"/>
      <c r="T283" s="114"/>
      <c r="U283" s="114"/>
      <c r="V283" s="114"/>
      <c r="W283" s="324"/>
      <c r="X283" s="114"/>
      <c r="Y283" s="114"/>
      <c r="Z283" s="326"/>
      <c r="AA283" s="381"/>
      <c r="AB283" s="381"/>
      <c r="AC283" s="381"/>
      <c r="AD283" s="381"/>
      <c r="AE283" s="381"/>
      <c r="AF283" s="381"/>
      <c r="AG283" s="381"/>
      <c r="AH283" s="326"/>
      <c r="AI283" s="326"/>
      <c r="AJ283" s="326"/>
      <c r="AK283" s="381"/>
      <c r="AL283" s="381"/>
      <c r="AM283" s="326"/>
      <c r="AN283" s="326"/>
      <c r="AO283" s="381"/>
      <c r="AP283" s="381"/>
      <c r="AQ283" s="381"/>
    </row>
    <row r="284" spans="1:43" ht="14.25" hidden="1" x14ac:dyDescent="0.15">
      <c r="A284" s="379"/>
      <c r="B284" s="37"/>
      <c r="C284" s="324"/>
      <c r="D284" s="324"/>
      <c r="E284" s="324"/>
      <c r="F284" s="324"/>
      <c r="G284" s="324"/>
      <c r="H284" s="380"/>
      <c r="I284" s="380"/>
      <c r="J284" s="324"/>
      <c r="K284" s="324"/>
      <c r="L284" s="324"/>
      <c r="M284" s="324"/>
      <c r="N284" s="324"/>
      <c r="O284" s="324"/>
      <c r="P284" s="324"/>
      <c r="Q284" s="324"/>
      <c r="R284" s="40"/>
      <c r="S284" s="114"/>
      <c r="T284" s="114"/>
      <c r="U284" s="114"/>
      <c r="V284" s="114"/>
      <c r="W284" s="324"/>
      <c r="X284" s="114"/>
      <c r="Y284" s="114"/>
      <c r="Z284" s="326"/>
      <c r="AA284" s="381"/>
      <c r="AB284" s="381"/>
      <c r="AC284" s="381"/>
      <c r="AD284" s="381"/>
      <c r="AE284" s="381"/>
      <c r="AF284" s="381"/>
      <c r="AG284" s="381"/>
      <c r="AH284" s="326"/>
      <c r="AI284" s="326"/>
      <c r="AJ284" s="326"/>
      <c r="AK284" s="381"/>
      <c r="AL284" s="381"/>
      <c r="AM284" s="326"/>
      <c r="AN284" s="326"/>
      <c r="AO284" s="381"/>
      <c r="AP284" s="381"/>
      <c r="AQ284" s="381"/>
    </row>
    <row r="285" spans="1:43" ht="14.25" hidden="1" x14ac:dyDescent="0.15">
      <c r="A285" s="379"/>
      <c r="B285" s="37"/>
      <c r="C285" s="324"/>
      <c r="D285" s="324"/>
      <c r="E285" s="324"/>
      <c r="F285" s="324"/>
      <c r="G285" s="324"/>
      <c r="H285" s="380"/>
      <c r="I285" s="380"/>
      <c r="J285" s="324"/>
      <c r="K285" s="324"/>
      <c r="L285" s="324"/>
      <c r="M285" s="324"/>
      <c r="N285" s="324"/>
      <c r="O285" s="324"/>
      <c r="P285" s="324"/>
      <c r="Q285" s="324"/>
      <c r="R285" s="40"/>
      <c r="S285" s="114"/>
      <c r="T285" s="114"/>
      <c r="U285" s="114"/>
      <c r="V285" s="114"/>
      <c r="W285" s="324"/>
      <c r="X285" s="114"/>
      <c r="Y285" s="114"/>
      <c r="Z285" s="326"/>
      <c r="AA285" s="381"/>
      <c r="AB285" s="381"/>
      <c r="AC285" s="381"/>
      <c r="AD285" s="381"/>
      <c r="AE285" s="381"/>
      <c r="AF285" s="381"/>
      <c r="AG285" s="381"/>
      <c r="AH285" s="326"/>
      <c r="AI285" s="326"/>
      <c r="AJ285" s="326"/>
      <c r="AK285" s="381"/>
      <c r="AL285" s="381"/>
      <c r="AM285" s="326"/>
      <c r="AN285" s="326"/>
      <c r="AO285" s="381"/>
      <c r="AP285" s="381"/>
      <c r="AQ285" s="381"/>
    </row>
    <row r="286" spans="1:43" ht="14.25" hidden="1" x14ac:dyDescent="0.15">
      <c r="A286" s="379"/>
      <c r="B286" s="37"/>
      <c r="C286" s="324"/>
      <c r="D286" s="324"/>
      <c r="E286" s="324"/>
      <c r="F286" s="324"/>
      <c r="G286" s="324"/>
      <c r="H286" s="380"/>
      <c r="I286" s="380"/>
      <c r="J286" s="324"/>
      <c r="K286" s="324"/>
      <c r="L286" s="324"/>
      <c r="M286" s="324"/>
      <c r="N286" s="324"/>
      <c r="O286" s="324"/>
      <c r="P286" s="324"/>
      <c r="Q286" s="324"/>
      <c r="R286" s="40"/>
      <c r="S286" s="114"/>
      <c r="T286" s="114"/>
      <c r="U286" s="114"/>
      <c r="V286" s="114"/>
      <c r="W286" s="324"/>
      <c r="X286" s="114"/>
      <c r="Y286" s="114"/>
      <c r="Z286" s="326"/>
      <c r="AA286" s="381"/>
      <c r="AB286" s="381"/>
      <c r="AC286" s="381"/>
      <c r="AD286" s="381"/>
      <c r="AE286" s="381"/>
      <c r="AF286" s="381"/>
      <c r="AG286" s="381"/>
      <c r="AH286" s="326"/>
      <c r="AI286" s="326"/>
      <c r="AJ286" s="326"/>
      <c r="AK286" s="381"/>
      <c r="AL286" s="381"/>
      <c r="AM286" s="326"/>
      <c r="AN286" s="326"/>
      <c r="AO286" s="381"/>
      <c r="AP286" s="381"/>
      <c r="AQ286" s="381"/>
    </row>
    <row r="287" spans="1:43" ht="14.25" hidden="1" x14ac:dyDescent="0.15">
      <c r="A287" s="379"/>
      <c r="B287" s="37"/>
      <c r="C287" s="324"/>
      <c r="D287" s="324"/>
      <c r="E287" s="324"/>
      <c r="F287" s="324"/>
      <c r="G287" s="324"/>
      <c r="H287" s="380"/>
      <c r="I287" s="380"/>
      <c r="J287" s="324"/>
      <c r="K287" s="324"/>
      <c r="L287" s="324"/>
      <c r="M287" s="324"/>
      <c r="N287" s="324"/>
      <c r="O287" s="324"/>
      <c r="P287" s="324"/>
      <c r="Q287" s="324"/>
      <c r="R287" s="40"/>
      <c r="S287" s="114"/>
      <c r="T287" s="114"/>
      <c r="U287" s="114"/>
      <c r="V287" s="114"/>
      <c r="W287" s="324"/>
      <c r="X287" s="114"/>
      <c r="Y287" s="114"/>
      <c r="Z287" s="326"/>
      <c r="AA287" s="381"/>
      <c r="AB287" s="381"/>
      <c r="AC287" s="381"/>
      <c r="AD287" s="381"/>
      <c r="AE287" s="381"/>
      <c r="AF287" s="381"/>
      <c r="AG287" s="381"/>
      <c r="AH287" s="326"/>
      <c r="AI287" s="326"/>
      <c r="AJ287" s="326"/>
      <c r="AK287" s="381"/>
      <c r="AL287" s="381"/>
      <c r="AM287" s="326"/>
      <c r="AN287" s="326"/>
      <c r="AO287" s="381"/>
      <c r="AP287" s="381"/>
      <c r="AQ287" s="381"/>
    </row>
    <row r="288" spans="1:43" ht="14.25" hidden="1" x14ac:dyDescent="0.15">
      <c r="A288" s="379"/>
      <c r="B288" s="37"/>
      <c r="C288" s="324"/>
      <c r="D288" s="324"/>
      <c r="E288" s="324"/>
      <c r="F288" s="324"/>
      <c r="G288" s="324"/>
      <c r="H288" s="380"/>
      <c r="I288" s="380"/>
      <c r="J288" s="324"/>
      <c r="K288" s="324"/>
      <c r="L288" s="324"/>
      <c r="M288" s="324"/>
      <c r="N288" s="324"/>
      <c r="O288" s="324"/>
      <c r="P288" s="324"/>
      <c r="Q288" s="324"/>
      <c r="R288" s="40"/>
      <c r="S288" s="114"/>
      <c r="T288" s="114"/>
      <c r="U288" s="114"/>
      <c r="V288" s="114"/>
      <c r="W288" s="324"/>
      <c r="X288" s="114"/>
      <c r="Y288" s="114"/>
      <c r="Z288" s="326"/>
      <c r="AA288" s="381"/>
      <c r="AB288" s="381"/>
      <c r="AC288" s="381"/>
      <c r="AD288" s="381"/>
      <c r="AE288" s="381"/>
      <c r="AF288" s="381"/>
      <c r="AG288" s="381"/>
      <c r="AH288" s="326"/>
      <c r="AI288" s="326"/>
      <c r="AJ288" s="326"/>
      <c r="AK288" s="381"/>
      <c r="AL288" s="381"/>
      <c r="AM288" s="326"/>
      <c r="AN288" s="326"/>
      <c r="AO288" s="381"/>
      <c r="AP288" s="381"/>
      <c r="AQ288" s="381"/>
    </row>
    <row r="289" spans="1:43" ht="14.25" hidden="1" x14ac:dyDescent="0.15">
      <c r="A289" s="379"/>
      <c r="B289" s="37"/>
      <c r="C289" s="324"/>
      <c r="D289" s="324"/>
      <c r="E289" s="324"/>
      <c r="F289" s="324"/>
      <c r="G289" s="324"/>
      <c r="H289" s="380"/>
      <c r="I289" s="380"/>
      <c r="J289" s="324"/>
      <c r="K289" s="324"/>
      <c r="L289" s="324"/>
      <c r="M289" s="324"/>
      <c r="N289" s="324"/>
      <c r="O289" s="324"/>
      <c r="P289" s="324"/>
      <c r="Q289" s="324"/>
      <c r="R289" s="40"/>
      <c r="S289" s="114"/>
      <c r="T289" s="114"/>
      <c r="U289" s="114"/>
      <c r="V289" s="114"/>
      <c r="W289" s="324"/>
      <c r="X289" s="114"/>
      <c r="Y289" s="114"/>
      <c r="Z289" s="326"/>
      <c r="AA289" s="381"/>
      <c r="AB289" s="381"/>
      <c r="AC289" s="381"/>
      <c r="AD289" s="381"/>
      <c r="AE289" s="381"/>
      <c r="AF289" s="381"/>
      <c r="AG289" s="381"/>
      <c r="AH289" s="326"/>
      <c r="AI289" s="326"/>
      <c r="AJ289" s="326"/>
      <c r="AK289" s="381"/>
      <c r="AL289" s="381"/>
      <c r="AM289" s="326"/>
      <c r="AN289" s="326"/>
      <c r="AO289" s="381"/>
      <c r="AP289" s="381"/>
      <c r="AQ289" s="381"/>
    </row>
    <row r="290" spans="1:43" ht="14.25" hidden="1" x14ac:dyDescent="0.15">
      <c r="A290" s="379"/>
      <c r="B290" s="37"/>
      <c r="C290" s="324"/>
      <c r="D290" s="324"/>
      <c r="E290" s="324"/>
      <c r="F290" s="324"/>
      <c r="G290" s="324"/>
      <c r="H290" s="380"/>
      <c r="I290" s="380"/>
      <c r="J290" s="324"/>
      <c r="K290" s="324"/>
      <c r="L290" s="324"/>
      <c r="M290" s="324"/>
      <c r="N290" s="324"/>
      <c r="O290" s="324"/>
      <c r="P290" s="324"/>
      <c r="Q290" s="324"/>
      <c r="R290" s="40"/>
      <c r="S290" s="114"/>
      <c r="T290" s="114"/>
      <c r="U290" s="114"/>
      <c r="V290" s="114"/>
      <c r="W290" s="324"/>
      <c r="X290" s="114"/>
      <c r="Y290" s="114"/>
      <c r="Z290" s="326"/>
      <c r="AA290" s="381"/>
      <c r="AB290" s="381"/>
      <c r="AC290" s="381"/>
      <c r="AD290" s="381"/>
      <c r="AE290" s="381"/>
      <c r="AF290" s="381"/>
      <c r="AG290" s="381"/>
      <c r="AH290" s="326"/>
      <c r="AI290" s="326"/>
      <c r="AJ290" s="326"/>
      <c r="AK290" s="381"/>
      <c r="AL290" s="381"/>
      <c r="AM290" s="326"/>
      <c r="AN290" s="326"/>
      <c r="AO290" s="381"/>
      <c r="AP290" s="381"/>
      <c r="AQ290" s="381"/>
    </row>
    <row r="291" spans="1:43" ht="14.25" hidden="1" x14ac:dyDescent="0.15">
      <c r="A291" s="379"/>
      <c r="B291" s="37"/>
      <c r="C291" s="324"/>
      <c r="D291" s="324"/>
      <c r="E291" s="324"/>
      <c r="F291" s="324"/>
      <c r="G291" s="324"/>
      <c r="H291" s="380"/>
      <c r="I291" s="380"/>
      <c r="J291" s="324"/>
      <c r="K291" s="324"/>
      <c r="L291" s="324"/>
      <c r="M291" s="324"/>
      <c r="N291" s="324"/>
      <c r="O291" s="324"/>
      <c r="P291" s="324"/>
      <c r="Q291" s="324"/>
      <c r="R291" s="40"/>
      <c r="S291" s="114"/>
      <c r="T291" s="114"/>
      <c r="U291" s="114"/>
      <c r="V291" s="114"/>
      <c r="W291" s="324"/>
      <c r="X291" s="114"/>
      <c r="Y291" s="114"/>
      <c r="Z291" s="326"/>
      <c r="AA291" s="381"/>
      <c r="AB291" s="381"/>
      <c r="AC291" s="381"/>
      <c r="AD291" s="381"/>
      <c r="AE291" s="381"/>
      <c r="AF291" s="381"/>
      <c r="AG291" s="381"/>
      <c r="AH291" s="326"/>
      <c r="AI291" s="326"/>
      <c r="AJ291" s="326"/>
      <c r="AK291" s="381"/>
      <c r="AL291" s="381"/>
      <c r="AM291" s="326"/>
      <c r="AN291" s="326"/>
      <c r="AO291" s="381"/>
      <c r="AP291" s="381"/>
      <c r="AQ291" s="381"/>
    </row>
    <row r="292" spans="1:43" ht="14.25" hidden="1" x14ac:dyDescent="0.15">
      <c r="A292" s="379"/>
      <c r="B292" s="37"/>
      <c r="C292" s="324"/>
      <c r="D292" s="324"/>
      <c r="E292" s="324"/>
      <c r="F292" s="324"/>
      <c r="G292" s="324"/>
      <c r="H292" s="380"/>
      <c r="I292" s="380"/>
      <c r="J292" s="324"/>
      <c r="K292" s="324"/>
      <c r="L292" s="324"/>
      <c r="M292" s="324"/>
      <c r="N292" s="324"/>
      <c r="O292" s="324"/>
      <c r="P292" s="324"/>
      <c r="Q292" s="324"/>
      <c r="R292" s="40"/>
      <c r="S292" s="114"/>
      <c r="T292" s="114"/>
      <c r="U292" s="114"/>
      <c r="V292" s="114"/>
      <c r="W292" s="324"/>
      <c r="X292" s="114"/>
      <c r="Y292" s="114"/>
      <c r="Z292" s="326"/>
      <c r="AA292" s="381"/>
      <c r="AB292" s="381"/>
      <c r="AC292" s="381"/>
      <c r="AD292" s="381"/>
      <c r="AE292" s="381"/>
      <c r="AF292" s="381"/>
      <c r="AG292" s="381"/>
      <c r="AH292" s="326"/>
      <c r="AI292" s="326"/>
      <c r="AJ292" s="326"/>
      <c r="AK292" s="381"/>
      <c r="AL292" s="381"/>
      <c r="AM292" s="326"/>
      <c r="AN292" s="326"/>
      <c r="AO292" s="381"/>
      <c r="AP292" s="381"/>
      <c r="AQ292" s="381"/>
    </row>
    <row r="293" spans="1:43" ht="14.25" hidden="1" x14ac:dyDescent="0.15">
      <c r="A293" s="379"/>
      <c r="B293" s="37"/>
      <c r="C293" s="324"/>
      <c r="D293" s="324"/>
      <c r="E293" s="324"/>
      <c r="F293" s="324"/>
      <c r="G293" s="324"/>
      <c r="H293" s="380"/>
      <c r="I293" s="380"/>
      <c r="J293" s="324"/>
      <c r="K293" s="324"/>
      <c r="L293" s="324"/>
      <c r="M293" s="324"/>
      <c r="N293" s="324"/>
      <c r="O293" s="324"/>
      <c r="P293" s="324"/>
      <c r="Q293" s="324"/>
      <c r="R293" s="40"/>
      <c r="S293" s="114"/>
      <c r="T293" s="114"/>
      <c r="U293" s="114"/>
      <c r="V293" s="114"/>
      <c r="W293" s="324"/>
      <c r="X293" s="114"/>
      <c r="Y293" s="114"/>
      <c r="Z293" s="326"/>
      <c r="AA293" s="381"/>
      <c r="AB293" s="381"/>
      <c r="AC293" s="381"/>
      <c r="AD293" s="381"/>
      <c r="AE293" s="381"/>
      <c r="AF293" s="381"/>
      <c r="AG293" s="381"/>
      <c r="AH293" s="326"/>
      <c r="AI293" s="326"/>
      <c r="AJ293" s="326"/>
      <c r="AK293" s="381"/>
      <c r="AL293" s="381"/>
      <c r="AM293" s="326"/>
      <c r="AN293" s="326"/>
      <c r="AO293" s="381"/>
      <c r="AP293" s="381"/>
      <c r="AQ293" s="381"/>
    </row>
    <row r="294" spans="1:43" ht="14.25" hidden="1" x14ac:dyDescent="0.15">
      <c r="A294" s="379"/>
      <c r="B294" s="37"/>
      <c r="C294" s="324"/>
      <c r="D294" s="324"/>
      <c r="E294" s="324"/>
      <c r="F294" s="324"/>
      <c r="G294" s="324"/>
      <c r="H294" s="380"/>
      <c r="I294" s="380"/>
      <c r="J294" s="324"/>
      <c r="K294" s="324"/>
      <c r="L294" s="324"/>
      <c r="M294" s="324"/>
      <c r="N294" s="324"/>
      <c r="O294" s="324"/>
      <c r="P294" s="324"/>
      <c r="Q294" s="324"/>
      <c r="R294" s="40"/>
      <c r="S294" s="114"/>
      <c r="T294" s="114"/>
      <c r="U294" s="114"/>
      <c r="V294" s="114"/>
      <c r="W294" s="324"/>
      <c r="X294" s="114"/>
      <c r="Y294" s="114"/>
      <c r="Z294" s="326"/>
      <c r="AA294" s="381"/>
      <c r="AB294" s="381"/>
      <c r="AC294" s="381"/>
      <c r="AD294" s="381"/>
      <c r="AE294" s="381"/>
      <c r="AF294" s="381"/>
      <c r="AG294" s="381"/>
      <c r="AH294" s="326"/>
      <c r="AI294" s="326"/>
      <c r="AJ294" s="326"/>
      <c r="AK294" s="381"/>
      <c r="AL294" s="381"/>
      <c r="AM294" s="326"/>
      <c r="AN294" s="326"/>
      <c r="AO294" s="381"/>
      <c r="AP294" s="381"/>
      <c r="AQ294" s="381"/>
    </row>
    <row r="295" spans="1:43" ht="14.25" hidden="1" x14ac:dyDescent="0.15">
      <c r="A295" s="379"/>
      <c r="B295" s="37"/>
      <c r="C295" s="324"/>
      <c r="D295" s="324"/>
      <c r="E295" s="324"/>
      <c r="F295" s="324"/>
      <c r="G295" s="324"/>
      <c r="H295" s="380"/>
      <c r="I295" s="380"/>
      <c r="J295" s="324"/>
      <c r="K295" s="324"/>
      <c r="L295" s="324"/>
      <c r="M295" s="324"/>
      <c r="N295" s="324"/>
      <c r="O295" s="324"/>
      <c r="P295" s="324"/>
      <c r="Q295" s="324"/>
      <c r="R295" s="40"/>
      <c r="S295" s="114"/>
      <c r="T295" s="114"/>
      <c r="U295" s="114"/>
      <c r="V295" s="114"/>
      <c r="W295" s="324"/>
      <c r="X295" s="114"/>
      <c r="Y295" s="114"/>
      <c r="Z295" s="326"/>
      <c r="AA295" s="381"/>
      <c r="AB295" s="381"/>
      <c r="AC295" s="381"/>
      <c r="AD295" s="381"/>
      <c r="AE295" s="381"/>
      <c r="AF295" s="381"/>
      <c r="AG295" s="381"/>
      <c r="AH295" s="326"/>
      <c r="AI295" s="326"/>
      <c r="AJ295" s="326"/>
      <c r="AK295" s="381"/>
      <c r="AL295" s="381"/>
      <c r="AM295" s="326"/>
      <c r="AN295" s="326"/>
      <c r="AO295" s="381"/>
      <c r="AP295" s="381"/>
      <c r="AQ295" s="381"/>
    </row>
    <row r="296" spans="1:43" ht="14.25" hidden="1" x14ac:dyDescent="0.15">
      <c r="A296" s="379"/>
      <c r="B296" s="37"/>
      <c r="C296" s="324"/>
      <c r="D296" s="324"/>
      <c r="E296" s="324"/>
      <c r="F296" s="324"/>
      <c r="G296" s="324"/>
      <c r="H296" s="380"/>
      <c r="I296" s="380"/>
      <c r="J296" s="324"/>
      <c r="K296" s="324"/>
      <c r="L296" s="324"/>
      <c r="M296" s="324"/>
      <c r="N296" s="324"/>
      <c r="O296" s="324"/>
      <c r="P296" s="324"/>
      <c r="Q296" s="324"/>
      <c r="R296" s="40"/>
      <c r="S296" s="114"/>
      <c r="T296" s="114"/>
      <c r="U296" s="114"/>
      <c r="V296" s="114"/>
      <c r="W296" s="324"/>
      <c r="X296" s="114"/>
      <c r="Y296" s="114"/>
      <c r="Z296" s="326"/>
      <c r="AA296" s="381"/>
      <c r="AB296" s="381"/>
      <c r="AC296" s="381"/>
      <c r="AD296" s="381"/>
      <c r="AE296" s="381"/>
      <c r="AF296" s="381"/>
      <c r="AG296" s="381"/>
      <c r="AH296" s="326"/>
      <c r="AI296" s="326"/>
      <c r="AJ296" s="326"/>
      <c r="AK296" s="381"/>
      <c r="AL296" s="381"/>
      <c r="AM296" s="326"/>
      <c r="AN296" s="326"/>
      <c r="AO296" s="381"/>
      <c r="AP296" s="381"/>
      <c r="AQ296" s="381"/>
    </row>
    <row r="297" spans="1:43" ht="14.25" hidden="1" x14ac:dyDescent="0.15">
      <c r="A297" s="379"/>
      <c r="B297" s="37"/>
      <c r="C297" s="324"/>
      <c r="D297" s="324"/>
      <c r="E297" s="324"/>
      <c r="F297" s="324"/>
      <c r="G297" s="324"/>
      <c r="H297" s="380"/>
      <c r="I297" s="380"/>
      <c r="J297" s="324"/>
      <c r="K297" s="324"/>
      <c r="L297" s="324"/>
      <c r="M297" s="324"/>
      <c r="N297" s="324"/>
      <c r="O297" s="324"/>
      <c r="P297" s="324"/>
      <c r="Q297" s="324"/>
      <c r="R297" s="40"/>
      <c r="S297" s="114"/>
      <c r="T297" s="114"/>
      <c r="U297" s="114"/>
      <c r="V297" s="114"/>
      <c r="W297" s="324"/>
      <c r="X297" s="114"/>
      <c r="Y297" s="114"/>
      <c r="Z297" s="326"/>
      <c r="AA297" s="381"/>
      <c r="AB297" s="381"/>
      <c r="AC297" s="381"/>
      <c r="AD297" s="381"/>
      <c r="AE297" s="381"/>
      <c r="AF297" s="381"/>
      <c r="AG297" s="381"/>
      <c r="AH297" s="326"/>
      <c r="AI297" s="326"/>
      <c r="AJ297" s="326"/>
      <c r="AK297" s="381"/>
      <c r="AL297" s="381"/>
      <c r="AM297" s="326"/>
      <c r="AN297" s="326"/>
      <c r="AO297" s="381"/>
      <c r="AP297" s="381"/>
      <c r="AQ297" s="381"/>
    </row>
    <row r="298" spans="1:43" ht="14.25" hidden="1" x14ac:dyDescent="0.15">
      <c r="A298" s="379"/>
      <c r="B298" s="37"/>
      <c r="C298" s="324"/>
      <c r="D298" s="324"/>
      <c r="E298" s="324"/>
      <c r="F298" s="324"/>
      <c r="G298" s="324"/>
      <c r="H298" s="380"/>
      <c r="I298" s="380"/>
      <c r="J298" s="324"/>
      <c r="K298" s="324"/>
      <c r="L298" s="324"/>
      <c r="M298" s="324"/>
      <c r="N298" s="324"/>
      <c r="O298" s="324"/>
      <c r="P298" s="324"/>
      <c r="Q298" s="324"/>
      <c r="R298" s="40"/>
      <c r="S298" s="114"/>
      <c r="T298" s="114"/>
      <c r="U298" s="114"/>
      <c r="V298" s="114"/>
      <c r="W298" s="324"/>
      <c r="X298" s="114"/>
      <c r="Y298" s="114"/>
      <c r="Z298" s="326"/>
      <c r="AA298" s="381"/>
      <c r="AB298" s="381"/>
      <c r="AC298" s="381"/>
      <c r="AD298" s="381"/>
      <c r="AE298" s="381"/>
      <c r="AF298" s="381"/>
      <c r="AG298" s="381"/>
      <c r="AH298" s="326"/>
      <c r="AI298" s="326"/>
      <c r="AJ298" s="326"/>
      <c r="AK298" s="381"/>
      <c r="AL298" s="381"/>
      <c r="AM298" s="326"/>
      <c r="AN298" s="326"/>
      <c r="AO298" s="381"/>
      <c r="AP298" s="381"/>
      <c r="AQ298" s="381"/>
    </row>
    <row r="299" spans="1:43" ht="14.25" hidden="1" x14ac:dyDescent="0.15">
      <c r="A299" s="379"/>
      <c r="B299" s="37"/>
      <c r="C299" s="324"/>
      <c r="D299" s="324"/>
      <c r="E299" s="324"/>
      <c r="F299" s="324"/>
      <c r="G299" s="324"/>
      <c r="H299" s="380"/>
      <c r="I299" s="380"/>
      <c r="J299" s="324"/>
      <c r="K299" s="324"/>
      <c r="L299" s="324"/>
      <c r="M299" s="324"/>
      <c r="N299" s="324"/>
      <c r="O299" s="324"/>
      <c r="P299" s="324"/>
      <c r="Q299" s="324"/>
      <c r="R299" s="40"/>
      <c r="S299" s="114"/>
      <c r="T299" s="114"/>
      <c r="U299" s="114"/>
      <c r="V299" s="114"/>
      <c r="W299" s="324"/>
      <c r="X299" s="114"/>
      <c r="Y299" s="114"/>
      <c r="Z299" s="326"/>
      <c r="AA299" s="381"/>
      <c r="AB299" s="381"/>
      <c r="AC299" s="381"/>
      <c r="AD299" s="381"/>
      <c r="AE299" s="381"/>
      <c r="AF299" s="381"/>
      <c r="AG299" s="381"/>
      <c r="AH299" s="326"/>
      <c r="AI299" s="326"/>
      <c r="AJ299" s="326"/>
      <c r="AK299" s="381"/>
      <c r="AL299" s="381"/>
      <c r="AM299" s="326"/>
      <c r="AN299" s="326"/>
      <c r="AO299" s="381"/>
      <c r="AP299" s="381"/>
      <c r="AQ299" s="381"/>
    </row>
    <row r="300" spans="1:43" ht="14.25" hidden="1" x14ac:dyDescent="0.15">
      <c r="A300" s="379"/>
      <c r="B300" s="37"/>
      <c r="C300" s="324"/>
      <c r="D300" s="324"/>
      <c r="E300" s="324"/>
      <c r="F300" s="324"/>
      <c r="G300" s="324"/>
      <c r="H300" s="380"/>
      <c r="I300" s="380"/>
      <c r="J300" s="324"/>
      <c r="K300" s="324"/>
      <c r="L300" s="324"/>
      <c r="M300" s="324"/>
      <c r="N300" s="324"/>
      <c r="O300" s="324"/>
      <c r="P300" s="324"/>
      <c r="Q300" s="324"/>
      <c r="R300" s="40"/>
      <c r="S300" s="114"/>
      <c r="T300" s="114"/>
      <c r="U300" s="114"/>
      <c r="V300" s="114"/>
      <c r="W300" s="324"/>
      <c r="X300" s="114"/>
      <c r="Y300" s="114"/>
      <c r="Z300" s="326"/>
      <c r="AA300" s="381"/>
      <c r="AB300" s="381"/>
      <c r="AC300" s="381"/>
      <c r="AD300" s="381"/>
      <c r="AE300" s="381"/>
      <c r="AF300" s="381"/>
      <c r="AG300" s="381"/>
      <c r="AH300" s="326"/>
      <c r="AI300" s="326"/>
      <c r="AJ300" s="326"/>
      <c r="AK300" s="381"/>
      <c r="AL300" s="381"/>
      <c r="AM300" s="326"/>
      <c r="AN300" s="326"/>
      <c r="AO300" s="381"/>
      <c r="AP300" s="381"/>
      <c r="AQ300" s="381"/>
    </row>
    <row r="301" spans="1:43" ht="14.25" hidden="1" x14ac:dyDescent="0.15">
      <c r="A301" s="379"/>
      <c r="B301" s="37"/>
      <c r="C301" s="324"/>
      <c r="D301" s="324"/>
      <c r="E301" s="324"/>
      <c r="F301" s="324"/>
      <c r="G301" s="324"/>
      <c r="H301" s="380"/>
      <c r="I301" s="380"/>
      <c r="J301" s="324"/>
      <c r="K301" s="324"/>
      <c r="L301" s="324"/>
      <c r="M301" s="324"/>
      <c r="N301" s="324"/>
      <c r="O301" s="324"/>
      <c r="P301" s="324"/>
      <c r="Q301" s="324"/>
      <c r="R301" s="40"/>
      <c r="S301" s="114"/>
      <c r="T301" s="114"/>
      <c r="U301" s="114"/>
      <c r="V301" s="114"/>
      <c r="W301" s="324"/>
      <c r="X301" s="114"/>
      <c r="Y301" s="114"/>
      <c r="Z301" s="326"/>
      <c r="AA301" s="381"/>
      <c r="AB301" s="381"/>
      <c r="AC301" s="381"/>
      <c r="AD301" s="381"/>
      <c r="AE301" s="381"/>
      <c r="AF301" s="381"/>
      <c r="AG301" s="381"/>
      <c r="AH301" s="326"/>
      <c r="AI301" s="326"/>
      <c r="AJ301" s="326"/>
      <c r="AK301" s="381"/>
      <c r="AL301" s="381"/>
      <c r="AM301" s="326"/>
      <c r="AN301" s="326"/>
      <c r="AO301" s="381"/>
      <c r="AP301" s="381"/>
      <c r="AQ301" s="381"/>
    </row>
    <row r="302" spans="1:43" ht="14.25" hidden="1" x14ac:dyDescent="0.15">
      <c r="A302" s="379"/>
      <c r="B302" s="37"/>
      <c r="C302" s="324"/>
      <c r="D302" s="324"/>
      <c r="E302" s="324"/>
      <c r="F302" s="324"/>
      <c r="G302" s="324"/>
      <c r="H302" s="380"/>
      <c r="I302" s="380"/>
      <c r="J302" s="324"/>
      <c r="K302" s="324"/>
      <c r="L302" s="324"/>
      <c r="M302" s="324"/>
      <c r="N302" s="324"/>
      <c r="O302" s="324"/>
      <c r="P302" s="324"/>
      <c r="Q302" s="324"/>
      <c r="R302" s="40"/>
      <c r="S302" s="114"/>
      <c r="T302" s="114"/>
      <c r="U302" s="114"/>
      <c r="V302" s="114"/>
      <c r="W302" s="324"/>
      <c r="X302" s="114"/>
      <c r="Y302" s="114"/>
      <c r="Z302" s="326"/>
      <c r="AA302" s="381"/>
      <c r="AB302" s="381"/>
      <c r="AC302" s="381"/>
      <c r="AD302" s="381"/>
      <c r="AE302" s="381"/>
      <c r="AF302" s="381"/>
      <c r="AG302" s="381"/>
      <c r="AH302" s="326"/>
      <c r="AI302" s="326"/>
      <c r="AJ302" s="326"/>
      <c r="AK302" s="381"/>
      <c r="AL302" s="381"/>
      <c r="AM302" s="326"/>
      <c r="AN302" s="326"/>
      <c r="AO302" s="381"/>
      <c r="AP302" s="381"/>
      <c r="AQ302" s="381"/>
    </row>
    <row r="303" spans="1:43" ht="14.25" hidden="1" x14ac:dyDescent="0.15">
      <c r="A303" s="379"/>
      <c r="B303" s="37"/>
      <c r="C303" s="324"/>
      <c r="D303" s="324"/>
      <c r="E303" s="324"/>
      <c r="F303" s="324"/>
      <c r="G303" s="324"/>
      <c r="H303" s="380"/>
      <c r="I303" s="380"/>
      <c r="J303" s="324"/>
      <c r="K303" s="324"/>
      <c r="L303" s="324"/>
      <c r="M303" s="324"/>
      <c r="N303" s="324"/>
      <c r="O303" s="324"/>
      <c r="P303" s="324"/>
      <c r="Q303" s="324"/>
      <c r="R303" s="40"/>
      <c r="S303" s="114"/>
      <c r="T303" s="114"/>
      <c r="U303" s="114"/>
      <c r="V303" s="114"/>
      <c r="W303" s="324"/>
      <c r="X303" s="114"/>
      <c r="Y303" s="114"/>
      <c r="Z303" s="326"/>
      <c r="AA303" s="381"/>
      <c r="AB303" s="381"/>
      <c r="AC303" s="381"/>
      <c r="AD303" s="381"/>
      <c r="AE303" s="381"/>
      <c r="AF303" s="381"/>
      <c r="AG303" s="381"/>
      <c r="AH303" s="326"/>
      <c r="AI303" s="326"/>
      <c r="AJ303" s="326"/>
      <c r="AK303" s="381"/>
      <c r="AL303" s="381"/>
      <c r="AM303" s="326"/>
      <c r="AN303" s="326"/>
      <c r="AO303" s="381"/>
      <c r="AP303" s="381"/>
      <c r="AQ303" s="381"/>
    </row>
    <row r="304" spans="1:43" ht="14.25" hidden="1" x14ac:dyDescent="0.15">
      <c r="A304" s="379"/>
      <c r="B304" s="37"/>
      <c r="C304" s="324"/>
      <c r="D304" s="324"/>
      <c r="E304" s="324"/>
      <c r="F304" s="324"/>
      <c r="G304" s="324"/>
      <c r="H304" s="380"/>
      <c r="I304" s="380"/>
      <c r="J304" s="324"/>
      <c r="K304" s="324"/>
      <c r="L304" s="324"/>
      <c r="M304" s="324"/>
      <c r="N304" s="324"/>
      <c r="O304" s="324"/>
      <c r="P304" s="324"/>
      <c r="Q304" s="324"/>
      <c r="R304" s="40"/>
      <c r="S304" s="114"/>
      <c r="T304" s="114"/>
      <c r="U304" s="114"/>
      <c r="V304" s="114"/>
      <c r="W304" s="324"/>
      <c r="X304" s="114"/>
      <c r="Y304" s="114"/>
      <c r="Z304" s="326"/>
      <c r="AA304" s="381"/>
      <c r="AB304" s="381"/>
      <c r="AC304" s="381"/>
      <c r="AD304" s="381"/>
      <c r="AE304" s="381"/>
      <c r="AF304" s="381"/>
      <c r="AG304" s="381"/>
      <c r="AH304" s="326"/>
      <c r="AI304" s="326"/>
      <c r="AJ304" s="326"/>
      <c r="AK304" s="381"/>
      <c r="AL304" s="381"/>
      <c r="AM304" s="326"/>
      <c r="AN304" s="326"/>
      <c r="AO304" s="381"/>
      <c r="AP304" s="381"/>
      <c r="AQ304" s="381"/>
    </row>
    <row r="305" spans="1:43" ht="14.25" hidden="1" x14ac:dyDescent="0.15">
      <c r="A305" s="379"/>
      <c r="B305" s="37"/>
      <c r="C305" s="324"/>
      <c r="D305" s="324"/>
      <c r="E305" s="324"/>
      <c r="F305" s="324"/>
      <c r="G305" s="324"/>
      <c r="H305" s="380"/>
      <c r="I305" s="380"/>
      <c r="J305" s="324"/>
      <c r="K305" s="324"/>
      <c r="L305" s="324"/>
      <c r="M305" s="324"/>
      <c r="N305" s="324"/>
      <c r="O305" s="324"/>
      <c r="P305" s="324"/>
      <c r="Q305" s="324"/>
      <c r="R305" s="40"/>
      <c r="S305" s="114"/>
      <c r="T305" s="114"/>
      <c r="U305" s="114"/>
      <c r="V305" s="114"/>
      <c r="W305" s="324"/>
      <c r="X305" s="114"/>
      <c r="Y305" s="114"/>
      <c r="Z305" s="326"/>
      <c r="AA305" s="381"/>
      <c r="AB305" s="381"/>
      <c r="AC305" s="381"/>
      <c r="AD305" s="381"/>
      <c r="AE305" s="381"/>
      <c r="AF305" s="381"/>
      <c r="AG305" s="381"/>
      <c r="AH305" s="326"/>
      <c r="AI305" s="326"/>
      <c r="AJ305" s="326"/>
      <c r="AK305" s="381"/>
      <c r="AL305" s="381"/>
      <c r="AM305" s="326"/>
      <c r="AN305" s="326"/>
      <c r="AO305" s="381"/>
      <c r="AP305" s="381"/>
      <c r="AQ305" s="381"/>
    </row>
    <row r="306" spans="1:43" ht="14.25" hidden="1" x14ac:dyDescent="0.15">
      <c r="A306" s="379"/>
      <c r="B306" s="37"/>
      <c r="C306" s="324"/>
      <c r="D306" s="324"/>
      <c r="E306" s="324"/>
      <c r="F306" s="324"/>
      <c r="G306" s="324"/>
      <c r="H306" s="380"/>
      <c r="I306" s="380"/>
      <c r="J306" s="324"/>
      <c r="K306" s="324"/>
      <c r="L306" s="324"/>
      <c r="M306" s="324"/>
      <c r="N306" s="324"/>
      <c r="O306" s="324"/>
      <c r="P306" s="324"/>
      <c r="Q306" s="324"/>
      <c r="R306" s="40"/>
      <c r="S306" s="114"/>
      <c r="T306" s="114"/>
      <c r="U306" s="114"/>
      <c r="V306" s="114"/>
      <c r="W306" s="324"/>
      <c r="X306" s="114"/>
      <c r="Y306" s="114"/>
      <c r="Z306" s="326"/>
      <c r="AA306" s="381"/>
      <c r="AB306" s="381"/>
      <c r="AC306" s="381"/>
      <c r="AD306" s="381"/>
      <c r="AE306" s="381"/>
      <c r="AF306" s="381"/>
      <c r="AG306" s="381"/>
      <c r="AH306" s="326"/>
      <c r="AI306" s="326"/>
      <c r="AJ306" s="326"/>
      <c r="AK306" s="381"/>
      <c r="AL306" s="381"/>
      <c r="AM306" s="326"/>
      <c r="AN306" s="326"/>
      <c r="AO306" s="381"/>
      <c r="AP306" s="381"/>
      <c r="AQ306" s="381"/>
    </row>
    <row r="307" spans="1:43" ht="14.25" hidden="1" x14ac:dyDescent="0.15">
      <c r="A307" s="379"/>
      <c r="B307" s="37"/>
      <c r="C307" s="324"/>
      <c r="D307" s="324"/>
      <c r="E307" s="324"/>
      <c r="F307" s="324"/>
      <c r="G307" s="324"/>
      <c r="H307" s="380"/>
      <c r="I307" s="380"/>
      <c r="J307" s="324"/>
      <c r="K307" s="324"/>
      <c r="L307" s="324"/>
      <c r="M307" s="324"/>
      <c r="N307" s="324"/>
      <c r="O307" s="324"/>
      <c r="P307" s="324"/>
      <c r="Q307" s="324"/>
      <c r="R307" s="40"/>
      <c r="S307" s="114"/>
      <c r="T307" s="114"/>
      <c r="U307" s="114"/>
      <c r="V307" s="114"/>
      <c r="W307" s="324"/>
      <c r="X307" s="114"/>
      <c r="Y307" s="114"/>
      <c r="Z307" s="326"/>
      <c r="AA307" s="381"/>
      <c r="AB307" s="381"/>
      <c r="AC307" s="381"/>
      <c r="AD307" s="381"/>
      <c r="AE307" s="381"/>
      <c r="AF307" s="381"/>
      <c r="AG307" s="381"/>
      <c r="AH307" s="326"/>
      <c r="AI307" s="326"/>
      <c r="AJ307" s="326"/>
      <c r="AK307" s="381"/>
      <c r="AL307" s="381"/>
      <c r="AM307" s="326"/>
      <c r="AN307" s="326"/>
      <c r="AO307" s="381"/>
      <c r="AP307" s="381"/>
      <c r="AQ307" s="381"/>
    </row>
    <row r="308" spans="1:43" ht="14.25" hidden="1" x14ac:dyDescent="0.15">
      <c r="A308" s="379"/>
      <c r="B308" s="37"/>
      <c r="C308" s="324"/>
      <c r="D308" s="324"/>
      <c r="E308" s="324"/>
      <c r="F308" s="324"/>
      <c r="G308" s="324"/>
      <c r="H308" s="380"/>
      <c r="I308" s="380"/>
      <c r="J308" s="324"/>
      <c r="K308" s="324"/>
      <c r="L308" s="324"/>
      <c r="M308" s="324"/>
      <c r="N308" s="324"/>
      <c r="O308" s="324"/>
      <c r="P308" s="324"/>
      <c r="Q308" s="324"/>
      <c r="R308" s="40"/>
      <c r="S308" s="114"/>
      <c r="T308" s="114"/>
      <c r="U308" s="114"/>
      <c r="V308" s="114"/>
      <c r="W308" s="324"/>
      <c r="X308" s="114"/>
      <c r="Y308" s="114"/>
      <c r="Z308" s="326"/>
      <c r="AA308" s="381"/>
      <c r="AB308" s="381"/>
      <c r="AC308" s="381"/>
      <c r="AD308" s="381"/>
      <c r="AE308" s="381"/>
      <c r="AF308" s="381"/>
      <c r="AG308" s="381"/>
      <c r="AH308" s="326"/>
      <c r="AI308" s="326"/>
      <c r="AJ308" s="326"/>
      <c r="AK308" s="381"/>
      <c r="AL308" s="381"/>
      <c r="AM308" s="326"/>
      <c r="AN308" s="326"/>
      <c r="AO308" s="381"/>
      <c r="AP308" s="381"/>
      <c r="AQ308" s="381"/>
    </row>
    <row r="309" spans="1:43" ht="14.25" hidden="1" x14ac:dyDescent="0.15">
      <c r="A309" s="379"/>
      <c r="B309" s="37"/>
      <c r="C309" s="324"/>
      <c r="D309" s="324"/>
      <c r="E309" s="324"/>
      <c r="F309" s="324"/>
      <c r="G309" s="324"/>
      <c r="H309" s="380"/>
      <c r="I309" s="380"/>
      <c r="J309" s="324"/>
      <c r="K309" s="324"/>
      <c r="L309" s="324"/>
      <c r="M309" s="324"/>
      <c r="N309" s="324"/>
      <c r="O309" s="324"/>
      <c r="P309" s="324"/>
      <c r="Q309" s="324"/>
      <c r="R309" s="40"/>
      <c r="S309" s="114"/>
      <c r="T309" s="114"/>
      <c r="U309" s="114"/>
      <c r="V309" s="114"/>
      <c r="W309" s="324"/>
      <c r="X309" s="114"/>
      <c r="Y309" s="114"/>
      <c r="Z309" s="326"/>
      <c r="AA309" s="381"/>
      <c r="AB309" s="381"/>
      <c r="AC309" s="381"/>
      <c r="AD309" s="381"/>
      <c r="AE309" s="381"/>
      <c r="AF309" s="381"/>
      <c r="AG309" s="381"/>
      <c r="AH309" s="326"/>
      <c r="AI309" s="326"/>
      <c r="AJ309" s="326"/>
      <c r="AK309" s="381"/>
      <c r="AL309" s="381"/>
      <c r="AM309" s="326"/>
      <c r="AN309" s="326"/>
      <c r="AO309" s="381"/>
      <c r="AP309" s="381"/>
      <c r="AQ309" s="381"/>
    </row>
    <row r="310" spans="1:43" ht="14.25" hidden="1" x14ac:dyDescent="0.15">
      <c r="A310" s="379"/>
      <c r="B310" s="37"/>
      <c r="C310" s="324"/>
      <c r="D310" s="324"/>
      <c r="E310" s="324"/>
      <c r="F310" s="324"/>
      <c r="G310" s="324"/>
      <c r="H310" s="380"/>
      <c r="I310" s="380"/>
      <c r="J310" s="324"/>
      <c r="K310" s="324"/>
      <c r="L310" s="324"/>
      <c r="M310" s="324"/>
      <c r="N310" s="324"/>
      <c r="O310" s="324"/>
      <c r="P310" s="324"/>
      <c r="Q310" s="324"/>
      <c r="R310" s="40"/>
      <c r="S310" s="114"/>
      <c r="T310" s="114"/>
      <c r="U310" s="114"/>
      <c r="V310" s="114"/>
      <c r="W310" s="324"/>
      <c r="X310" s="114"/>
      <c r="Y310" s="114"/>
      <c r="Z310" s="326"/>
      <c r="AA310" s="381"/>
      <c r="AB310" s="381"/>
      <c r="AC310" s="381"/>
      <c r="AD310" s="381"/>
      <c r="AE310" s="381"/>
      <c r="AF310" s="381"/>
      <c r="AG310" s="381"/>
      <c r="AH310" s="326"/>
      <c r="AI310" s="326"/>
      <c r="AJ310" s="326"/>
      <c r="AK310" s="381"/>
      <c r="AL310" s="381"/>
      <c r="AM310" s="326"/>
      <c r="AN310" s="326"/>
      <c r="AO310" s="381"/>
      <c r="AP310" s="381"/>
      <c r="AQ310" s="381"/>
    </row>
    <row r="311" spans="1:43" ht="14.25" hidden="1" x14ac:dyDescent="0.15">
      <c r="A311" s="379"/>
      <c r="B311" s="37"/>
      <c r="C311" s="324"/>
      <c r="D311" s="324"/>
      <c r="E311" s="324"/>
      <c r="F311" s="324"/>
      <c r="G311" s="324"/>
      <c r="H311" s="380"/>
      <c r="I311" s="380"/>
      <c r="J311" s="324"/>
      <c r="K311" s="324"/>
      <c r="L311" s="324"/>
      <c r="M311" s="324"/>
      <c r="N311" s="324"/>
      <c r="O311" s="324"/>
      <c r="P311" s="324"/>
      <c r="Q311" s="324"/>
      <c r="R311" s="40"/>
      <c r="S311" s="114"/>
      <c r="T311" s="114"/>
      <c r="U311" s="114"/>
      <c r="V311" s="114"/>
      <c r="W311" s="324"/>
      <c r="X311" s="114"/>
      <c r="Y311" s="114"/>
      <c r="Z311" s="326"/>
      <c r="AA311" s="381"/>
      <c r="AB311" s="381"/>
      <c r="AC311" s="381"/>
      <c r="AD311" s="381"/>
      <c r="AE311" s="381"/>
      <c r="AF311" s="381"/>
      <c r="AG311" s="381"/>
      <c r="AH311" s="326"/>
      <c r="AI311" s="326"/>
      <c r="AJ311" s="326"/>
      <c r="AK311" s="381"/>
      <c r="AL311" s="381"/>
      <c r="AM311" s="326"/>
      <c r="AN311" s="326"/>
      <c r="AO311" s="381"/>
      <c r="AP311" s="381"/>
      <c r="AQ311" s="381"/>
    </row>
    <row r="312" spans="1:43" ht="14.25" hidden="1" x14ac:dyDescent="0.15">
      <c r="A312" s="379"/>
      <c r="B312" s="37"/>
      <c r="C312" s="324"/>
      <c r="D312" s="324"/>
      <c r="E312" s="324"/>
      <c r="F312" s="324"/>
      <c r="G312" s="324"/>
      <c r="H312" s="380"/>
      <c r="I312" s="380"/>
      <c r="J312" s="324"/>
      <c r="K312" s="324"/>
      <c r="L312" s="324"/>
      <c r="M312" s="324"/>
      <c r="N312" s="324"/>
      <c r="O312" s="324"/>
      <c r="P312" s="324"/>
      <c r="Q312" s="324"/>
      <c r="R312" s="40"/>
      <c r="S312" s="114"/>
      <c r="T312" s="114"/>
      <c r="U312" s="114"/>
      <c r="V312" s="114"/>
      <c r="W312" s="324"/>
      <c r="X312" s="114"/>
      <c r="Y312" s="114"/>
      <c r="Z312" s="326"/>
      <c r="AA312" s="381"/>
      <c r="AB312" s="381"/>
      <c r="AC312" s="381"/>
      <c r="AD312" s="381"/>
      <c r="AE312" s="381"/>
      <c r="AF312" s="381"/>
      <c r="AG312" s="381"/>
      <c r="AH312" s="326"/>
      <c r="AI312" s="326"/>
      <c r="AJ312" s="326"/>
      <c r="AK312" s="381"/>
      <c r="AL312" s="381"/>
      <c r="AM312" s="326"/>
      <c r="AN312" s="326"/>
      <c r="AO312" s="381"/>
      <c r="AP312" s="381"/>
      <c r="AQ312" s="381"/>
    </row>
    <row r="313" spans="1:43" ht="14.25" x14ac:dyDescent="0.15">
      <c r="A313" s="379"/>
      <c r="B313" s="37"/>
      <c r="C313" s="324"/>
      <c r="D313" s="324"/>
      <c r="E313" s="324"/>
      <c r="F313" s="324"/>
      <c r="G313" s="324"/>
      <c r="H313" s="380"/>
      <c r="I313" s="380"/>
      <c r="J313" s="324"/>
      <c r="K313" s="324"/>
      <c r="L313" s="324"/>
      <c r="M313" s="324"/>
      <c r="N313" s="324"/>
      <c r="O313" s="324"/>
      <c r="P313" s="324"/>
      <c r="Q313" s="324"/>
      <c r="R313" s="40"/>
      <c r="S313" s="114"/>
      <c r="T313" s="114"/>
      <c r="U313" s="114"/>
      <c r="V313" s="114"/>
      <c r="W313" s="324"/>
      <c r="X313" s="114"/>
      <c r="Y313" s="114"/>
      <c r="Z313" s="326"/>
      <c r="AA313" s="381"/>
      <c r="AB313" s="381"/>
      <c r="AC313" s="381"/>
      <c r="AD313" s="381"/>
      <c r="AE313" s="381"/>
      <c r="AF313" s="381"/>
      <c r="AG313" s="381"/>
      <c r="AH313" s="326"/>
      <c r="AI313" s="326"/>
      <c r="AJ313" s="326"/>
      <c r="AK313" s="381"/>
      <c r="AL313" s="381"/>
      <c r="AM313" s="326"/>
      <c r="AN313" s="326"/>
      <c r="AO313" s="381"/>
      <c r="AP313" s="381"/>
      <c r="AQ313" s="381"/>
    </row>
    <row r="314" spans="1:43" ht="14.25" x14ac:dyDescent="0.15">
      <c r="A314" s="379"/>
      <c r="B314" s="37"/>
      <c r="C314" s="324"/>
      <c r="D314" s="324"/>
      <c r="E314" s="324"/>
      <c r="F314" s="324"/>
      <c r="G314" s="324"/>
      <c r="H314" s="380"/>
      <c r="I314" s="380"/>
      <c r="J314" s="324"/>
      <c r="K314" s="324"/>
      <c r="L314" s="324"/>
      <c r="M314" s="324"/>
      <c r="N314" s="324"/>
      <c r="O314" s="324"/>
      <c r="P314" s="324"/>
      <c r="Q314" s="324"/>
      <c r="R314" s="40"/>
      <c r="S314" s="114"/>
      <c r="T314" s="114"/>
      <c r="U314" s="114"/>
      <c r="V314" s="114"/>
      <c r="W314" s="324"/>
      <c r="X314" s="114"/>
      <c r="Y314" s="114"/>
      <c r="Z314" s="326"/>
      <c r="AA314" s="381"/>
      <c r="AB314" s="381"/>
      <c r="AC314" s="381"/>
      <c r="AD314" s="381"/>
      <c r="AE314" s="381"/>
      <c r="AF314" s="381"/>
      <c r="AG314" s="381"/>
      <c r="AH314" s="326"/>
      <c r="AI314" s="326"/>
      <c r="AJ314" s="326"/>
      <c r="AK314" s="381"/>
      <c r="AL314" s="381"/>
      <c r="AM314" s="326"/>
      <c r="AN314" s="326"/>
      <c r="AO314" s="381"/>
      <c r="AP314" s="381"/>
      <c r="AQ314" s="381"/>
    </row>
    <row r="315" spans="1:43" ht="17.25" thickBot="1" x14ac:dyDescent="0.2">
      <c r="A315" s="330" t="s">
        <v>943</v>
      </c>
      <c r="B315" s="199"/>
      <c r="C315" s="69"/>
      <c r="D315" s="69"/>
      <c r="E315" s="69"/>
      <c r="F315" s="69"/>
      <c r="G315" s="69"/>
      <c r="H315" s="69"/>
      <c r="I315" s="69"/>
      <c r="J315" s="69"/>
      <c r="K315" s="69"/>
      <c r="L315" s="69"/>
      <c r="M315" s="51" t="s">
        <v>108</v>
      </c>
      <c r="N315" s="51" t="s">
        <v>108</v>
      </c>
      <c r="O315" s="51" t="s">
        <v>108</v>
      </c>
      <c r="P315" s="51" t="s">
        <v>108</v>
      </c>
      <c r="Q315" s="51" t="s">
        <v>108</v>
      </c>
      <c r="R315" s="51"/>
      <c r="S315" s="68"/>
      <c r="T315" s="68"/>
      <c r="U315" s="68"/>
      <c r="V315" s="68"/>
      <c r="W315" s="51"/>
      <c r="X315" s="68"/>
      <c r="Y315" s="68"/>
      <c r="Z315" s="68"/>
      <c r="AA315" s="68"/>
      <c r="AB315" s="68"/>
      <c r="AC315" s="68"/>
      <c r="AD315" s="68"/>
      <c r="AE315" s="68"/>
      <c r="AF315" s="68"/>
      <c r="AG315" s="68"/>
      <c r="AH315" s="68"/>
      <c r="AI315" s="68"/>
      <c r="AJ315" s="68"/>
      <c r="AK315" s="68"/>
      <c r="AL315" s="68"/>
      <c r="AM315" s="68"/>
      <c r="AN315" s="68"/>
      <c r="AO315" s="68"/>
      <c r="AP315" s="68"/>
      <c r="AQ315" s="68"/>
    </row>
    <row r="316" spans="1:43" x14ac:dyDescent="0.15">
      <c r="A316" s="60" t="s">
        <v>101</v>
      </c>
      <c r="B316" s="60" t="s">
        <v>101</v>
      </c>
      <c r="C316" s="60"/>
      <c r="D316" s="70"/>
      <c r="E316" s="70"/>
      <c r="F316" s="70"/>
      <c r="G316" s="70"/>
      <c r="H316" s="71"/>
      <c r="I316" s="71"/>
      <c r="J316" s="60"/>
      <c r="K316" s="60"/>
      <c r="L316" s="70"/>
      <c r="M316" s="124"/>
      <c r="N316" s="124"/>
      <c r="O316" s="124"/>
      <c r="P316" s="124"/>
      <c r="Q316" s="124"/>
      <c r="R316" s="202"/>
      <c r="S316" s="56" t="s">
        <v>125</v>
      </c>
      <c r="T316" s="56"/>
      <c r="U316" s="172"/>
      <c r="V316" s="172"/>
      <c r="W316" s="200"/>
      <c r="X316" s="108" t="s">
        <v>61</v>
      </c>
      <c r="Y316" s="108"/>
      <c r="Z316" s="108"/>
      <c r="AA316" s="53"/>
      <c r="AB316" s="55"/>
      <c r="AC316" s="55"/>
      <c r="AD316" s="54"/>
      <c r="AE316" s="54"/>
      <c r="AF316" s="54"/>
      <c r="AG316" s="54"/>
      <c r="AH316" s="57"/>
      <c r="AI316" s="57"/>
      <c r="AJ316" s="58"/>
      <c r="AK316" s="56" t="s">
        <v>93</v>
      </c>
      <c r="AL316" s="57"/>
      <c r="AM316" s="57"/>
      <c r="AN316" s="57"/>
      <c r="AO316" s="72" t="s">
        <v>109</v>
      </c>
      <c r="AP316" s="130"/>
      <c r="AQ316" s="131"/>
    </row>
    <row r="317" spans="1:43" s="100" customFormat="1" ht="94.5" customHeight="1" x14ac:dyDescent="0.15">
      <c r="A317" s="98" t="s">
        <v>52</v>
      </c>
      <c r="B317" s="101"/>
      <c r="C317" s="61" t="s">
        <v>1175</v>
      </c>
      <c r="D317" s="61" t="s">
        <v>795</v>
      </c>
      <c r="E317" s="61" t="s">
        <v>796</v>
      </c>
      <c r="F317" s="61" t="s">
        <v>797</v>
      </c>
      <c r="G317" s="61" t="s">
        <v>773</v>
      </c>
      <c r="H317" s="61" t="s">
        <v>104</v>
      </c>
      <c r="I317" s="61" t="s">
        <v>104</v>
      </c>
      <c r="J317" s="61" t="s">
        <v>1176</v>
      </c>
      <c r="K317" s="61"/>
      <c r="L317" s="61" t="s">
        <v>1177</v>
      </c>
      <c r="M317" s="125" t="s">
        <v>105</v>
      </c>
      <c r="N317" s="125" t="s">
        <v>1162</v>
      </c>
      <c r="O317" s="125" t="s">
        <v>1151</v>
      </c>
      <c r="P317" s="125" t="s">
        <v>1152</v>
      </c>
      <c r="Q317" s="125" t="s">
        <v>1153</v>
      </c>
      <c r="R317" s="203"/>
      <c r="S317" s="65" t="s">
        <v>126</v>
      </c>
      <c r="T317" s="173" t="s">
        <v>743</v>
      </c>
      <c r="U317" s="173"/>
      <c r="V317" s="173" t="s">
        <v>889</v>
      </c>
      <c r="W317" s="201"/>
      <c r="X317" s="109" t="s">
        <v>100</v>
      </c>
      <c r="Y317" s="112" t="s">
        <v>110</v>
      </c>
      <c r="Z317" s="115" t="s">
        <v>111</v>
      </c>
      <c r="AA317" s="102" t="s">
        <v>112</v>
      </c>
      <c r="AB317" s="102" t="s">
        <v>883</v>
      </c>
      <c r="AC317" s="102" t="s">
        <v>884</v>
      </c>
      <c r="AD317" s="64" t="s">
        <v>885</v>
      </c>
      <c r="AE317" s="64" t="s">
        <v>886</v>
      </c>
      <c r="AF317" s="64" t="s">
        <v>96</v>
      </c>
      <c r="AG317" s="116" t="s">
        <v>97</v>
      </c>
      <c r="AH317" s="99" t="s">
        <v>106</v>
      </c>
      <c r="AI317" s="99" t="s">
        <v>107</v>
      </c>
      <c r="AJ317" s="104" t="s">
        <v>95</v>
      </c>
      <c r="AK317" s="65" t="s">
        <v>1155</v>
      </c>
      <c r="AL317" s="103" t="s">
        <v>113</v>
      </c>
      <c r="AM317" s="103" t="s">
        <v>887</v>
      </c>
      <c r="AN317" s="59" t="s">
        <v>94</v>
      </c>
      <c r="AO317" s="62" t="s">
        <v>98</v>
      </c>
      <c r="AP317" s="63" t="s">
        <v>99</v>
      </c>
      <c r="AQ317" s="73" t="s">
        <v>114</v>
      </c>
    </row>
    <row r="318" spans="1:43" ht="14.25" x14ac:dyDescent="0.15">
      <c r="A318" s="674" t="s">
        <v>53</v>
      </c>
      <c r="B318" s="105" t="s">
        <v>115</v>
      </c>
      <c r="C318" s="309">
        <f t="shared" ref="C318:G327" si="163">+C4*0.7</f>
        <v>31499.999999999996</v>
      </c>
      <c r="D318" s="309">
        <f t="shared" si="163"/>
        <v>24500</v>
      </c>
      <c r="E318" s="309">
        <f t="shared" si="163"/>
        <v>24500</v>
      </c>
      <c r="F318" s="309">
        <f t="shared" si="163"/>
        <v>24500</v>
      </c>
      <c r="G318" s="309">
        <f t="shared" si="163"/>
        <v>24500</v>
      </c>
      <c r="H318" s="312"/>
      <c r="I318" s="312"/>
      <c r="J318" s="42" t="s">
        <v>1183</v>
      </c>
      <c r="K318" s="309"/>
      <c r="L318" s="309">
        <f t="shared" ref="L318:L330" si="164">+L4*0.7</f>
        <v>28000</v>
      </c>
      <c r="M318" s="313"/>
      <c r="N318" s="313"/>
      <c r="O318" s="313"/>
      <c r="P318" s="313"/>
      <c r="Q318" s="313"/>
      <c r="R318" s="107"/>
      <c r="S318" s="77">
        <v>25000</v>
      </c>
      <c r="T318" s="41"/>
      <c r="U318" s="41"/>
      <c r="V318" s="41"/>
      <c r="W318" s="320"/>
      <c r="X318" s="110">
        <v>2000</v>
      </c>
      <c r="Y318" s="113">
        <v>2000</v>
      </c>
      <c r="Z318" s="363">
        <f t="shared" ref="Z318:AL318" si="165">+Z4*0.7</f>
        <v>3150</v>
      </c>
      <c r="AA318" s="364">
        <f t="shared" si="165"/>
        <v>12600</v>
      </c>
      <c r="AB318" s="364">
        <f t="shared" si="165"/>
        <v>6300</v>
      </c>
      <c r="AC318" s="364">
        <f t="shared" si="165"/>
        <v>12600</v>
      </c>
      <c r="AD318" s="364">
        <f t="shared" si="165"/>
        <v>6300</v>
      </c>
      <c r="AE318" s="364">
        <f t="shared" si="165"/>
        <v>12600</v>
      </c>
      <c r="AF318" s="364">
        <f t="shared" si="165"/>
        <v>12600</v>
      </c>
      <c r="AG318" s="365">
        <f t="shared" si="165"/>
        <v>12600</v>
      </c>
      <c r="AH318" s="78">
        <v>180000</v>
      </c>
      <c r="AI318" s="78">
        <v>360000</v>
      </c>
      <c r="AJ318" s="79">
        <v>60000</v>
      </c>
      <c r="AK318" s="366">
        <f t="shared" si="165"/>
        <v>6300</v>
      </c>
      <c r="AL318" s="364">
        <f t="shared" si="165"/>
        <v>6300</v>
      </c>
      <c r="AM318" s="75">
        <v>150000</v>
      </c>
      <c r="AN318" s="78">
        <v>60000</v>
      </c>
      <c r="AO318" s="367">
        <f t="shared" ref="AO318:AQ330" si="166">+AO4*0.7</f>
        <v>18900</v>
      </c>
      <c r="AP318" s="364">
        <f t="shared" si="166"/>
        <v>12600</v>
      </c>
      <c r="AQ318" s="364">
        <f t="shared" si="166"/>
        <v>6300</v>
      </c>
    </row>
    <row r="319" spans="1:43" ht="15" thickBot="1" x14ac:dyDescent="0.2">
      <c r="A319" s="343"/>
      <c r="B319" s="82" t="s">
        <v>116</v>
      </c>
      <c r="C319" s="310">
        <f t="shared" si="163"/>
        <v>45500</v>
      </c>
      <c r="D319" s="310">
        <f t="shared" si="163"/>
        <v>31499.999999999996</v>
      </c>
      <c r="E319" s="310">
        <f t="shared" si="163"/>
        <v>31499.999999999996</v>
      </c>
      <c r="F319" s="310">
        <f t="shared" si="163"/>
        <v>31499.999999999996</v>
      </c>
      <c r="G319" s="310">
        <f t="shared" si="163"/>
        <v>31499.999999999996</v>
      </c>
      <c r="H319" s="314"/>
      <c r="I319" s="314"/>
      <c r="J319" s="43" t="s">
        <v>1183</v>
      </c>
      <c r="K319" s="310"/>
      <c r="L319" s="310">
        <f t="shared" si="164"/>
        <v>35000</v>
      </c>
      <c r="M319" s="359"/>
      <c r="N319" s="359"/>
      <c r="O319" s="359"/>
      <c r="P319" s="359"/>
      <c r="Q319" s="359"/>
      <c r="R319" s="40"/>
      <c r="S319" s="80">
        <v>25000</v>
      </c>
      <c r="T319" s="83"/>
      <c r="U319" s="83"/>
      <c r="V319" s="83"/>
      <c r="W319" s="324"/>
      <c r="X319" s="111">
        <v>2000</v>
      </c>
      <c r="Y319" s="114">
        <v>2000</v>
      </c>
      <c r="Z319" s="371">
        <f t="shared" ref="Z319:AL319" si="167">+Z5*0.7</f>
        <v>4550</v>
      </c>
      <c r="AA319" s="367">
        <f t="shared" si="167"/>
        <v>18200</v>
      </c>
      <c r="AB319" s="367">
        <f t="shared" si="167"/>
        <v>9100</v>
      </c>
      <c r="AC319" s="367">
        <f t="shared" si="167"/>
        <v>18200</v>
      </c>
      <c r="AD319" s="367">
        <f t="shared" si="167"/>
        <v>9100</v>
      </c>
      <c r="AE319" s="367">
        <f t="shared" si="167"/>
        <v>18200</v>
      </c>
      <c r="AF319" s="367">
        <f t="shared" si="167"/>
        <v>18200</v>
      </c>
      <c r="AG319" s="369">
        <f t="shared" si="167"/>
        <v>18200</v>
      </c>
      <c r="AH319" s="78">
        <v>180000</v>
      </c>
      <c r="AI319" s="78">
        <v>360000</v>
      </c>
      <c r="AJ319" s="79">
        <v>60000</v>
      </c>
      <c r="AK319" s="370">
        <f t="shared" si="167"/>
        <v>9100</v>
      </c>
      <c r="AL319" s="367">
        <f t="shared" si="167"/>
        <v>9100</v>
      </c>
      <c r="AM319" s="78">
        <v>150000</v>
      </c>
      <c r="AN319" s="78">
        <v>60000</v>
      </c>
      <c r="AO319" s="367">
        <f t="shared" si="166"/>
        <v>27300</v>
      </c>
      <c r="AP319" s="367">
        <f t="shared" si="166"/>
        <v>18200</v>
      </c>
      <c r="AQ319" s="367">
        <f t="shared" si="166"/>
        <v>9100</v>
      </c>
    </row>
    <row r="320" spans="1:43" ht="14.25" x14ac:dyDescent="0.15">
      <c r="A320" s="474" t="s">
        <v>117</v>
      </c>
      <c r="B320" s="84" t="s">
        <v>920</v>
      </c>
      <c r="C320" s="311">
        <f t="shared" si="163"/>
        <v>43400</v>
      </c>
      <c r="D320" s="311">
        <f t="shared" si="163"/>
        <v>28000</v>
      </c>
      <c r="E320" s="311">
        <f t="shared" si="163"/>
        <v>28000</v>
      </c>
      <c r="F320" s="311">
        <f t="shared" si="163"/>
        <v>28000</v>
      </c>
      <c r="G320" s="311">
        <f t="shared" si="163"/>
        <v>28000</v>
      </c>
      <c r="H320" s="86"/>
      <c r="I320" s="86"/>
      <c r="J320" s="85" t="s">
        <v>1183</v>
      </c>
      <c r="K320" s="311"/>
      <c r="L320" s="311">
        <f t="shared" si="164"/>
        <v>31499.999999999996</v>
      </c>
      <c r="M320" s="362">
        <f t="shared" ref="M320:Q330" si="168">+M6*0.7</f>
        <v>37800</v>
      </c>
      <c r="N320" s="362">
        <f t="shared" ref="N320:P320" si="169">+N6*0.7</f>
        <v>45360</v>
      </c>
      <c r="O320" s="362">
        <f t="shared" si="169"/>
        <v>45360</v>
      </c>
      <c r="P320" s="362">
        <f t="shared" si="169"/>
        <v>52920</v>
      </c>
      <c r="Q320" s="362">
        <f t="shared" si="168"/>
        <v>3779.9999999999995</v>
      </c>
      <c r="R320" s="467"/>
      <c r="S320" s="88">
        <v>25000</v>
      </c>
      <c r="T320" s="475"/>
      <c r="U320" s="475"/>
      <c r="V320" s="475"/>
      <c r="W320" s="468"/>
      <c r="X320" s="120">
        <v>2000</v>
      </c>
      <c r="Y320" s="120">
        <v>2000</v>
      </c>
      <c r="Z320" s="469">
        <f t="shared" ref="Z320:AL320" si="170">+Z6*0.7</f>
        <v>4340</v>
      </c>
      <c r="AA320" s="470">
        <f t="shared" si="170"/>
        <v>17360</v>
      </c>
      <c r="AB320" s="470">
        <f t="shared" si="170"/>
        <v>8680</v>
      </c>
      <c r="AC320" s="470">
        <f t="shared" si="170"/>
        <v>17360</v>
      </c>
      <c r="AD320" s="470">
        <f t="shared" si="170"/>
        <v>8680</v>
      </c>
      <c r="AE320" s="470">
        <f t="shared" si="170"/>
        <v>17360</v>
      </c>
      <c r="AF320" s="470">
        <f t="shared" si="170"/>
        <v>17360</v>
      </c>
      <c r="AG320" s="471">
        <f t="shared" si="170"/>
        <v>17360</v>
      </c>
      <c r="AH320" s="89">
        <v>180000</v>
      </c>
      <c r="AI320" s="89">
        <v>360000</v>
      </c>
      <c r="AJ320" s="90">
        <v>60000</v>
      </c>
      <c r="AK320" s="472">
        <f t="shared" si="170"/>
        <v>8680</v>
      </c>
      <c r="AL320" s="470">
        <f t="shared" si="170"/>
        <v>8680</v>
      </c>
      <c r="AM320" s="87">
        <v>150000</v>
      </c>
      <c r="AN320" s="87">
        <v>60000</v>
      </c>
      <c r="AO320" s="470">
        <f t="shared" si="166"/>
        <v>26040</v>
      </c>
      <c r="AP320" s="470">
        <f t="shared" si="166"/>
        <v>17360</v>
      </c>
      <c r="AQ320" s="470">
        <f t="shared" si="166"/>
        <v>8680</v>
      </c>
    </row>
    <row r="321" spans="1:43" ht="14.25" x14ac:dyDescent="0.15">
      <c r="A321" s="464"/>
      <c r="B321" s="105" t="s">
        <v>921</v>
      </c>
      <c r="C321" s="309">
        <f t="shared" si="163"/>
        <v>60199.999999999993</v>
      </c>
      <c r="D321" s="309">
        <f t="shared" si="163"/>
        <v>35000</v>
      </c>
      <c r="E321" s="309">
        <f t="shared" si="163"/>
        <v>35000</v>
      </c>
      <c r="F321" s="309">
        <f t="shared" si="163"/>
        <v>35000</v>
      </c>
      <c r="G321" s="309">
        <f t="shared" si="163"/>
        <v>35000</v>
      </c>
      <c r="H321" s="41"/>
      <c r="I321" s="41"/>
      <c r="J321" s="42" t="s">
        <v>1183</v>
      </c>
      <c r="K321" s="309"/>
      <c r="L321" s="309">
        <f t="shared" si="164"/>
        <v>38500</v>
      </c>
      <c r="M321" s="316">
        <f t="shared" si="168"/>
        <v>46200</v>
      </c>
      <c r="N321" s="316">
        <f t="shared" ref="N321:P321" si="171">+N7*0.7</f>
        <v>55440</v>
      </c>
      <c r="O321" s="316">
        <f t="shared" si="171"/>
        <v>55440</v>
      </c>
      <c r="P321" s="316">
        <f t="shared" si="171"/>
        <v>64679.999999999993</v>
      </c>
      <c r="Q321" s="316">
        <f t="shared" si="168"/>
        <v>4620</v>
      </c>
      <c r="R321" s="107"/>
      <c r="S321" s="77">
        <v>25000</v>
      </c>
      <c r="T321" s="465"/>
      <c r="U321" s="465"/>
      <c r="V321" s="465"/>
      <c r="W321" s="320"/>
      <c r="X321" s="110">
        <v>2000</v>
      </c>
      <c r="Y321" s="110">
        <v>2000</v>
      </c>
      <c r="Z321" s="363">
        <f t="shared" ref="Z321:AL321" si="172">+Z7*0.7</f>
        <v>6020</v>
      </c>
      <c r="AA321" s="367">
        <f t="shared" si="172"/>
        <v>24080</v>
      </c>
      <c r="AB321" s="367">
        <f t="shared" si="172"/>
        <v>12040</v>
      </c>
      <c r="AC321" s="367">
        <f t="shared" si="172"/>
        <v>24080</v>
      </c>
      <c r="AD321" s="367">
        <f t="shared" si="172"/>
        <v>12040</v>
      </c>
      <c r="AE321" s="367">
        <f t="shared" si="172"/>
        <v>24080</v>
      </c>
      <c r="AF321" s="367">
        <f t="shared" si="172"/>
        <v>24080</v>
      </c>
      <c r="AG321" s="369">
        <f t="shared" si="172"/>
        <v>24080</v>
      </c>
      <c r="AH321" s="75">
        <v>180000</v>
      </c>
      <c r="AI321" s="75">
        <v>360000</v>
      </c>
      <c r="AJ321" s="76">
        <v>60000</v>
      </c>
      <c r="AK321" s="370">
        <f t="shared" si="172"/>
        <v>12040</v>
      </c>
      <c r="AL321" s="367">
        <f t="shared" si="172"/>
        <v>12040</v>
      </c>
      <c r="AM321" s="75">
        <v>150000</v>
      </c>
      <c r="AN321" s="75">
        <v>60000</v>
      </c>
      <c r="AO321" s="367">
        <f t="shared" si="166"/>
        <v>36120</v>
      </c>
      <c r="AP321" s="367">
        <f t="shared" si="166"/>
        <v>24080</v>
      </c>
      <c r="AQ321" s="367">
        <f t="shared" si="166"/>
        <v>12040</v>
      </c>
    </row>
    <row r="322" spans="1:43" ht="15" thickBot="1" x14ac:dyDescent="0.2">
      <c r="A322" s="343"/>
      <c r="B322" s="82" t="s">
        <v>941</v>
      </c>
      <c r="C322" s="357">
        <f t="shared" si="163"/>
        <v>85400</v>
      </c>
      <c r="D322" s="357">
        <f t="shared" si="163"/>
        <v>61599.999999999993</v>
      </c>
      <c r="E322" s="357">
        <f t="shared" si="163"/>
        <v>61599.999999999993</v>
      </c>
      <c r="F322" s="357">
        <f t="shared" si="163"/>
        <v>61599.999999999993</v>
      </c>
      <c r="G322" s="357">
        <f t="shared" si="163"/>
        <v>61599.999999999993</v>
      </c>
      <c r="H322" s="463"/>
      <c r="I322" s="463"/>
      <c r="J322" s="701" t="s">
        <v>1183</v>
      </c>
      <c r="K322" s="357"/>
      <c r="L322" s="357">
        <f t="shared" si="164"/>
        <v>62999.999999999993</v>
      </c>
      <c r="M322" s="358">
        <f t="shared" si="168"/>
        <v>75600</v>
      </c>
      <c r="N322" s="358">
        <f t="shared" ref="N322:P322" si="173">+N8*0.7</f>
        <v>90720</v>
      </c>
      <c r="O322" s="358">
        <f t="shared" si="173"/>
        <v>90720</v>
      </c>
      <c r="P322" s="358">
        <f t="shared" si="173"/>
        <v>105840</v>
      </c>
      <c r="Q322" s="358">
        <f t="shared" si="168"/>
        <v>7559.9999999999991</v>
      </c>
      <c r="R322" s="40"/>
      <c r="S322" s="80">
        <v>25000</v>
      </c>
      <c r="T322" s="466"/>
      <c r="U322" s="466"/>
      <c r="V322" s="466"/>
      <c r="W322" s="324"/>
      <c r="X322" s="111">
        <v>2000</v>
      </c>
      <c r="Y322" s="114">
        <v>2000</v>
      </c>
      <c r="Z322" s="371">
        <f t="shared" ref="Z322:AL322" si="174">+Z8*0.7</f>
        <v>8540</v>
      </c>
      <c r="AA322" s="367">
        <f t="shared" si="174"/>
        <v>34160</v>
      </c>
      <c r="AB322" s="367">
        <f t="shared" si="174"/>
        <v>17080</v>
      </c>
      <c r="AC322" s="367">
        <f t="shared" si="174"/>
        <v>34160</v>
      </c>
      <c r="AD322" s="367">
        <f t="shared" si="174"/>
        <v>17080</v>
      </c>
      <c r="AE322" s="367">
        <f t="shared" si="174"/>
        <v>34160</v>
      </c>
      <c r="AF322" s="367">
        <f t="shared" si="174"/>
        <v>34160</v>
      </c>
      <c r="AG322" s="369">
        <f t="shared" si="174"/>
        <v>34160</v>
      </c>
      <c r="AH322" s="93">
        <v>180000</v>
      </c>
      <c r="AI322" s="93">
        <v>360000</v>
      </c>
      <c r="AJ322" s="94">
        <v>60000</v>
      </c>
      <c r="AK322" s="370">
        <f t="shared" si="174"/>
        <v>17080</v>
      </c>
      <c r="AL322" s="367">
        <f t="shared" si="174"/>
        <v>17080</v>
      </c>
      <c r="AM322" s="93">
        <v>150000</v>
      </c>
      <c r="AN322" s="93">
        <v>60000</v>
      </c>
      <c r="AO322" s="367">
        <f t="shared" si="166"/>
        <v>51240</v>
      </c>
      <c r="AP322" s="367">
        <f t="shared" si="166"/>
        <v>34160</v>
      </c>
      <c r="AQ322" s="367">
        <f t="shared" si="166"/>
        <v>17080</v>
      </c>
    </row>
    <row r="323" spans="1:43" ht="15" thickBot="1" x14ac:dyDescent="0.2">
      <c r="A323" s="343"/>
      <c r="B323" s="82" t="s">
        <v>942</v>
      </c>
      <c r="C323" s="357">
        <f t="shared" si="163"/>
        <v>85400</v>
      </c>
      <c r="D323" s="357">
        <f t="shared" si="163"/>
        <v>61599.999999999993</v>
      </c>
      <c r="E323" s="357">
        <f t="shared" si="163"/>
        <v>61599.999999999993</v>
      </c>
      <c r="F323" s="357">
        <f t="shared" si="163"/>
        <v>61599.999999999993</v>
      </c>
      <c r="G323" s="357">
        <f t="shared" si="163"/>
        <v>61599.999999999993</v>
      </c>
      <c r="H323" s="463"/>
      <c r="I323" s="463"/>
      <c r="J323" s="701" t="s">
        <v>1183</v>
      </c>
      <c r="K323" s="357"/>
      <c r="L323" s="357">
        <f t="shared" si="164"/>
        <v>62999.999999999993</v>
      </c>
      <c r="M323" s="358">
        <f t="shared" si="168"/>
        <v>75600</v>
      </c>
      <c r="N323" s="358">
        <f t="shared" ref="N323:P323" si="175">+N9*0.7</f>
        <v>90720</v>
      </c>
      <c r="O323" s="358">
        <f t="shared" si="175"/>
        <v>90720</v>
      </c>
      <c r="P323" s="358">
        <f t="shared" si="175"/>
        <v>105840</v>
      </c>
      <c r="Q323" s="358">
        <f t="shared" si="168"/>
        <v>7559.9999999999991</v>
      </c>
      <c r="R323" s="40"/>
      <c r="S323" s="80">
        <v>25000</v>
      </c>
      <c r="T323" s="466"/>
      <c r="U323" s="466"/>
      <c r="V323" s="466"/>
      <c r="W323" s="324"/>
      <c r="X323" s="111">
        <v>2000</v>
      </c>
      <c r="Y323" s="114">
        <v>2000</v>
      </c>
      <c r="Z323" s="371">
        <f t="shared" ref="Z323:AL323" si="176">+Z9*0.7</f>
        <v>8540</v>
      </c>
      <c r="AA323" s="367">
        <f t="shared" si="176"/>
        <v>34160</v>
      </c>
      <c r="AB323" s="367">
        <f t="shared" si="176"/>
        <v>17080</v>
      </c>
      <c r="AC323" s="367">
        <f t="shared" si="176"/>
        <v>34160</v>
      </c>
      <c r="AD323" s="367">
        <f t="shared" si="176"/>
        <v>17080</v>
      </c>
      <c r="AE323" s="367">
        <f t="shared" si="176"/>
        <v>34160</v>
      </c>
      <c r="AF323" s="367">
        <f t="shared" si="176"/>
        <v>34160</v>
      </c>
      <c r="AG323" s="369">
        <f t="shared" si="176"/>
        <v>34160</v>
      </c>
      <c r="AH323" s="93">
        <v>180000</v>
      </c>
      <c r="AI323" s="93">
        <v>360000</v>
      </c>
      <c r="AJ323" s="94">
        <v>60000</v>
      </c>
      <c r="AK323" s="370">
        <f t="shared" si="176"/>
        <v>17080</v>
      </c>
      <c r="AL323" s="367">
        <f t="shared" si="176"/>
        <v>17080</v>
      </c>
      <c r="AM323" s="93">
        <v>150000</v>
      </c>
      <c r="AN323" s="93">
        <v>60000</v>
      </c>
      <c r="AO323" s="367">
        <f t="shared" si="166"/>
        <v>51240</v>
      </c>
      <c r="AP323" s="367">
        <f t="shared" si="166"/>
        <v>34160</v>
      </c>
      <c r="AQ323" s="367">
        <f t="shared" si="166"/>
        <v>17080</v>
      </c>
    </row>
    <row r="324" spans="1:43" ht="14.25" x14ac:dyDescent="0.15">
      <c r="A324" s="675" t="s">
        <v>122</v>
      </c>
      <c r="B324" s="84" t="s">
        <v>66</v>
      </c>
      <c r="C324" s="311">
        <f t="shared" si="163"/>
        <v>54600</v>
      </c>
      <c r="D324" s="311">
        <f t="shared" si="163"/>
        <v>37800</v>
      </c>
      <c r="E324" s="311">
        <f t="shared" si="163"/>
        <v>37800</v>
      </c>
      <c r="F324" s="311">
        <f t="shared" si="163"/>
        <v>37800</v>
      </c>
      <c r="G324" s="311">
        <f t="shared" si="163"/>
        <v>37800</v>
      </c>
      <c r="H324" s="311">
        <f t="shared" ref="H324:I330" si="177">+H10*0.7</f>
        <v>100800</v>
      </c>
      <c r="I324" s="311">
        <f t="shared" si="177"/>
        <v>120959.99999999999</v>
      </c>
      <c r="J324" s="85" t="s">
        <v>1183</v>
      </c>
      <c r="K324" s="311"/>
      <c r="L324" s="311">
        <f t="shared" si="164"/>
        <v>40600</v>
      </c>
      <c r="M324" s="362">
        <f t="shared" si="168"/>
        <v>49000</v>
      </c>
      <c r="N324" s="362">
        <f t="shared" ref="N324:P324" si="178">+N10*0.7</f>
        <v>58799.999999999993</v>
      </c>
      <c r="O324" s="362">
        <f t="shared" si="178"/>
        <v>58799.999999999993</v>
      </c>
      <c r="P324" s="362">
        <f t="shared" si="178"/>
        <v>68600</v>
      </c>
      <c r="Q324" s="362">
        <f t="shared" si="168"/>
        <v>4900</v>
      </c>
      <c r="R324" s="467"/>
      <c r="S324" s="88">
        <v>25000</v>
      </c>
      <c r="T324" s="120">
        <v>60000</v>
      </c>
      <c r="U324" s="120"/>
      <c r="V324" s="120">
        <v>3000</v>
      </c>
      <c r="W324" s="468"/>
      <c r="X324" s="120">
        <v>2000</v>
      </c>
      <c r="Y324" s="121">
        <v>2000</v>
      </c>
      <c r="Z324" s="469">
        <f t="shared" ref="Z324:AL324" si="179">+Z10*0.7</f>
        <v>5460</v>
      </c>
      <c r="AA324" s="470">
        <f t="shared" si="179"/>
        <v>21840</v>
      </c>
      <c r="AB324" s="470">
        <f t="shared" si="179"/>
        <v>10920</v>
      </c>
      <c r="AC324" s="470">
        <f t="shared" si="179"/>
        <v>21840</v>
      </c>
      <c r="AD324" s="470">
        <f t="shared" si="179"/>
        <v>10920</v>
      </c>
      <c r="AE324" s="470">
        <f t="shared" si="179"/>
        <v>21840</v>
      </c>
      <c r="AF324" s="470">
        <f t="shared" si="179"/>
        <v>21840</v>
      </c>
      <c r="AG324" s="471">
        <f t="shared" si="179"/>
        <v>21840</v>
      </c>
      <c r="AH324" s="92">
        <v>180000</v>
      </c>
      <c r="AI324" s="92">
        <v>360000</v>
      </c>
      <c r="AJ324" s="119">
        <v>60000</v>
      </c>
      <c r="AK324" s="472">
        <f t="shared" si="179"/>
        <v>10920</v>
      </c>
      <c r="AL324" s="470">
        <f t="shared" si="179"/>
        <v>10920</v>
      </c>
      <c r="AM324" s="92">
        <v>150000</v>
      </c>
      <c r="AN324" s="92">
        <v>60000</v>
      </c>
      <c r="AO324" s="470">
        <f t="shared" si="166"/>
        <v>32759.999999999996</v>
      </c>
      <c r="AP324" s="470">
        <f t="shared" si="166"/>
        <v>21840</v>
      </c>
      <c r="AQ324" s="470">
        <f t="shared" si="166"/>
        <v>10920</v>
      </c>
    </row>
    <row r="325" spans="1:43" ht="14.25" x14ac:dyDescent="0.15">
      <c r="A325" s="343"/>
      <c r="B325" s="91" t="s">
        <v>67</v>
      </c>
      <c r="C325" s="309">
        <f t="shared" si="163"/>
        <v>71400</v>
      </c>
      <c r="D325" s="309">
        <f t="shared" si="163"/>
        <v>43400</v>
      </c>
      <c r="E325" s="309">
        <f t="shared" si="163"/>
        <v>43400</v>
      </c>
      <c r="F325" s="309">
        <f t="shared" si="163"/>
        <v>43400</v>
      </c>
      <c r="G325" s="309">
        <f t="shared" si="163"/>
        <v>43400</v>
      </c>
      <c r="H325" s="309">
        <f t="shared" si="177"/>
        <v>117599.99999999999</v>
      </c>
      <c r="I325" s="309">
        <f t="shared" si="177"/>
        <v>141120</v>
      </c>
      <c r="J325" s="42" t="s">
        <v>1183</v>
      </c>
      <c r="K325" s="309"/>
      <c r="L325" s="309">
        <f t="shared" si="164"/>
        <v>44800</v>
      </c>
      <c r="M325" s="316">
        <f t="shared" si="168"/>
        <v>53900</v>
      </c>
      <c r="N325" s="316">
        <f t="shared" ref="N325:P325" si="180">+N11*0.7</f>
        <v>64679.999999999993</v>
      </c>
      <c r="O325" s="316">
        <f t="shared" si="180"/>
        <v>64679.999999999993</v>
      </c>
      <c r="P325" s="316">
        <f t="shared" si="180"/>
        <v>75460</v>
      </c>
      <c r="Q325" s="316">
        <f t="shared" si="168"/>
        <v>5390</v>
      </c>
      <c r="R325" s="107"/>
      <c r="S325" s="77">
        <v>25000</v>
      </c>
      <c r="T325" s="110">
        <v>60000</v>
      </c>
      <c r="U325" s="110"/>
      <c r="V325" s="110">
        <v>3000</v>
      </c>
      <c r="W325" s="320"/>
      <c r="X325" s="110">
        <v>2000</v>
      </c>
      <c r="Y325" s="113">
        <v>2000</v>
      </c>
      <c r="Z325" s="363">
        <f t="shared" ref="Z325:AL325" si="181">+Z11*0.7</f>
        <v>7140</v>
      </c>
      <c r="AA325" s="364">
        <f t="shared" si="181"/>
        <v>28560</v>
      </c>
      <c r="AB325" s="364">
        <f t="shared" si="181"/>
        <v>14280</v>
      </c>
      <c r="AC325" s="364">
        <f t="shared" si="181"/>
        <v>28560</v>
      </c>
      <c r="AD325" s="364">
        <f t="shared" si="181"/>
        <v>14280</v>
      </c>
      <c r="AE325" s="364">
        <f t="shared" si="181"/>
        <v>28560</v>
      </c>
      <c r="AF325" s="364">
        <f t="shared" si="181"/>
        <v>28560</v>
      </c>
      <c r="AG325" s="365">
        <f t="shared" si="181"/>
        <v>28560</v>
      </c>
      <c r="AH325" s="78">
        <v>180000</v>
      </c>
      <c r="AI325" s="78">
        <v>360000</v>
      </c>
      <c r="AJ325" s="79">
        <v>60000</v>
      </c>
      <c r="AK325" s="366">
        <f t="shared" si="181"/>
        <v>14280</v>
      </c>
      <c r="AL325" s="364">
        <f t="shared" si="181"/>
        <v>14280</v>
      </c>
      <c r="AM325" s="75">
        <v>150000</v>
      </c>
      <c r="AN325" s="75">
        <v>60000</v>
      </c>
      <c r="AO325" s="364">
        <f t="shared" si="166"/>
        <v>42840</v>
      </c>
      <c r="AP325" s="364">
        <f t="shared" si="166"/>
        <v>28560</v>
      </c>
      <c r="AQ325" s="364">
        <f t="shared" si="166"/>
        <v>14280</v>
      </c>
    </row>
    <row r="326" spans="1:43" ht="14.25" x14ac:dyDescent="0.15">
      <c r="A326" s="343"/>
      <c r="B326" s="91" t="s">
        <v>997</v>
      </c>
      <c r="C326" s="309">
        <f t="shared" si="163"/>
        <v>88200</v>
      </c>
      <c r="D326" s="309">
        <f t="shared" si="163"/>
        <v>62999.999999999993</v>
      </c>
      <c r="E326" s="309">
        <f t="shared" si="163"/>
        <v>62999.999999999993</v>
      </c>
      <c r="F326" s="309">
        <f t="shared" si="163"/>
        <v>62999.999999999993</v>
      </c>
      <c r="G326" s="309">
        <f t="shared" si="163"/>
        <v>62999.999999999993</v>
      </c>
      <c r="H326" s="309">
        <f t="shared" si="177"/>
        <v>134400</v>
      </c>
      <c r="I326" s="309">
        <f t="shared" si="177"/>
        <v>161280</v>
      </c>
      <c r="J326" s="42" t="s">
        <v>1183</v>
      </c>
      <c r="K326" s="309"/>
      <c r="L326" s="309">
        <f t="shared" si="164"/>
        <v>62999.999999999993</v>
      </c>
      <c r="M326" s="316">
        <f t="shared" si="168"/>
        <v>75600</v>
      </c>
      <c r="N326" s="316">
        <f t="shared" ref="N326:P326" si="182">+N12*0.7</f>
        <v>90720</v>
      </c>
      <c r="O326" s="316">
        <f t="shared" si="182"/>
        <v>90720</v>
      </c>
      <c r="P326" s="316">
        <f t="shared" si="182"/>
        <v>105840</v>
      </c>
      <c r="Q326" s="316">
        <f t="shared" si="168"/>
        <v>7559.9999999999991</v>
      </c>
      <c r="R326" s="107"/>
      <c r="S326" s="77">
        <v>25000</v>
      </c>
      <c r="T326" s="110">
        <v>60000</v>
      </c>
      <c r="U326" s="110"/>
      <c r="V326" s="110">
        <v>3000</v>
      </c>
      <c r="W326" s="320"/>
      <c r="X326" s="110">
        <v>2000</v>
      </c>
      <c r="Y326" s="113">
        <v>2000</v>
      </c>
      <c r="Z326" s="363">
        <f t="shared" ref="Z326:AL326" si="183">+Z12*0.7</f>
        <v>8820</v>
      </c>
      <c r="AA326" s="364">
        <f t="shared" si="183"/>
        <v>35280</v>
      </c>
      <c r="AB326" s="364">
        <f t="shared" si="183"/>
        <v>17640</v>
      </c>
      <c r="AC326" s="364">
        <f t="shared" si="183"/>
        <v>35280</v>
      </c>
      <c r="AD326" s="364">
        <f t="shared" si="183"/>
        <v>17640</v>
      </c>
      <c r="AE326" s="364">
        <f t="shared" si="183"/>
        <v>35280</v>
      </c>
      <c r="AF326" s="364">
        <f t="shared" si="183"/>
        <v>35280</v>
      </c>
      <c r="AG326" s="365">
        <f t="shared" si="183"/>
        <v>35280</v>
      </c>
      <c r="AH326" s="75">
        <v>180000</v>
      </c>
      <c r="AI326" s="75">
        <v>360000</v>
      </c>
      <c r="AJ326" s="76">
        <v>60000</v>
      </c>
      <c r="AK326" s="366">
        <f t="shared" si="183"/>
        <v>17640</v>
      </c>
      <c r="AL326" s="364">
        <f t="shared" si="183"/>
        <v>17640</v>
      </c>
      <c r="AM326" s="75">
        <v>150000</v>
      </c>
      <c r="AN326" s="75">
        <v>60000</v>
      </c>
      <c r="AO326" s="364">
        <f t="shared" si="166"/>
        <v>52920</v>
      </c>
      <c r="AP326" s="364">
        <f t="shared" si="166"/>
        <v>35280</v>
      </c>
      <c r="AQ326" s="364">
        <f t="shared" si="166"/>
        <v>17640</v>
      </c>
    </row>
    <row r="327" spans="1:43" ht="14.25" x14ac:dyDescent="0.15">
      <c r="A327" s="343"/>
      <c r="B327" s="91" t="s">
        <v>998</v>
      </c>
      <c r="C327" s="309">
        <f t="shared" si="163"/>
        <v>88200</v>
      </c>
      <c r="D327" s="309">
        <f t="shared" si="163"/>
        <v>62999.999999999993</v>
      </c>
      <c r="E327" s="309">
        <f t="shared" si="163"/>
        <v>62999.999999999993</v>
      </c>
      <c r="F327" s="309">
        <f t="shared" si="163"/>
        <v>62999.999999999993</v>
      </c>
      <c r="G327" s="309">
        <f t="shared" si="163"/>
        <v>62999.999999999993</v>
      </c>
      <c r="H327" s="309">
        <f t="shared" si="177"/>
        <v>134400</v>
      </c>
      <c r="I327" s="309">
        <f t="shared" si="177"/>
        <v>161280</v>
      </c>
      <c r="J327" s="42" t="s">
        <v>1183</v>
      </c>
      <c r="K327" s="309"/>
      <c r="L327" s="309">
        <f t="shared" si="164"/>
        <v>62999.999999999993</v>
      </c>
      <c r="M327" s="316">
        <f t="shared" si="168"/>
        <v>75600</v>
      </c>
      <c r="N327" s="316">
        <f t="shared" ref="N327:P327" si="184">+N13*0.7</f>
        <v>90720</v>
      </c>
      <c r="O327" s="316">
        <f t="shared" si="184"/>
        <v>90720</v>
      </c>
      <c r="P327" s="316">
        <f t="shared" si="184"/>
        <v>105840</v>
      </c>
      <c r="Q327" s="316">
        <f t="shared" si="168"/>
        <v>7559.9999999999991</v>
      </c>
      <c r="R327" s="107"/>
      <c r="S327" s="77">
        <v>25000</v>
      </c>
      <c r="T327" s="110">
        <v>60000</v>
      </c>
      <c r="U327" s="110"/>
      <c r="V327" s="110">
        <v>3000</v>
      </c>
      <c r="W327" s="320"/>
      <c r="X327" s="110">
        <v>2000</v>
      </c>
      <c r="Y327" s="113">
        <v>2000</v>
      </c>
      <c r="Z327" s="363">
        <f t="shared" ref="Z327:AL327" si="185">+Z13*0.7</f>
        <v>8820</v>
      </c>
      <c r="AA327" s="364">
        <f t="shared" si="185"/>
        <v>35280</v>
      </c>
      <c r="AB327" s="364">
        <f t="shared" si="185"/>
        <v>17640</v>
      </c>
      <c r="AC327" s="364">
        <f t="shared" si="185"/>
        <v>35280</v>
      </c>
      <c r="AD327" s="364">
        <f t="shared" si="185"/>
        <v>17640</v>
      </c>
      <c r="AE327" s="364">
        <f t="shared" si="185"/>
        <v>35280</v>
      </c>
      <c r="AF327" s="364">
        <f t="shared" si="185"/>
        <v>35280</v>
      </c>
      <c r="AG327" s="365">
        <f t="shared" si="185"/>
        <v>35280</v>
      </c>
      <c r="AH327" s="75">
        <v>180000</v>
      </c>
      <c r="AI327" s="75">
        <v>360000</v>
      </c>
      <c r="AJ327" s="76">
        <v>60000</v>
      </c>
      <c r="AK327" s="366">
        <f t="shared" si="185"/>
        <v>17640</v>
      </c>
      <c r="AL327" s="364">
        <f t="shared" si="185"/>
        <v>17640</v>
      </c>
      <c r="AM327" s="75">
        <v>150000</v>
      </c>
      <c r="AN327" s="75">
        <v>60000</v>
      </c>
      <c r="AO327" s="364">
        <f t="shared" si="166"/>
        <v>52920</v>
      </c>
      <c r="AP327" s="364">
        <f t="shared" si="166"/>
        <v>35280</v>
      </c>
      <c r="AQ327" s="364">
        <f t="shared" si="166"/>
        <v>17640</v>
      </c>
    </row>
    <row r="328" spans="1:43" ht="14.25" x14ac:dyDescent="0.15">
      <c r="A328" s="343"/>
      <c r="B328" s="105" t="s">
        <v>68</v>
      </c>
      <c r="C328" s="309">
        <f t="shared" ref="C328:G328" si="186">+C14*0.7</f>
        <v>113400</v>
      </c>
      <c r="D328" s="309">
        <f t="shared" si="186"/>
        <v>84000</v>
      </c>
      <c r="E328" s="309">
        <f t="shared" si="186"/>
        <v>84000</v>
      </c>
      <c r="F328" s="309">
        <f t="shared" si="186"/>
        <v>84000</v>
      </c>
      <c r="G328" s="309">
        <f t="shared" si="186"/>
        <v>84000</v>
      </c>
      <c r="H328" s="309">
        <f t="shared" si="177"/>
        <v>151200</v>
      </c>
      <c r="I328" s="309">
        <f t="shared" si="177"/>
        <v>181440</v>
      </c>
      <c r="J328" s="42" t="s">
        <v>1183</v>
      </c>
      <c r="K328" s="309"/>
      <c r="L328" s="309">
        <f t="shared" si="164"/>
        <v>92400</v>
      </c>
      <c r="M328" s="316">
        <f t="shared" si="168"/>
        <v>110600</v>
      </c>
      <c r="N328" s="316">
        <f t="shared" ref="N328:P328" si="187">+N14*0.7</f>
        <v>132720</v>
      </c>
      <c r="O328" s="316">
        <f t="shared" si="187"/>
        <v>132720</v>
      </c>
      <c r="P328" s="316">
        <f t="shared" si="187"/>
        <v>154840</v>
      </c>
      <c r="Q328" s="316">
        <f t="shared" si="168"/>
        <v>11060</v>
      </c>
      <c r="R328" s="107"/>
      <c r="S328" s="77">
        <v>25000</v>
      </c>
      <c r="T328" s="110">
        <v>60000</v>
      </c>
      <c r="U328" s="110"/>
      <c r="V328" s="110">
        <v>3000</v>
      </c>
      <c r="W328" s="320"/>
      <c r="X328" s="110">
        <v>2000</v>
      </c>
      <c r="Y328" s="113">
        <v>2000</v>
      </c>
      <c r="Z328" s="363">
        <f t="shared" ref="Z328:AL328" si="188">+Z14*0.7</f>
        <v>11340</v>
      </c>
      <c r="AA328" s="364">
        <f t="shared" si="188"/>
        <v>45360</v>
      </c>
      <c r="AB328" s="364">
        <f t="shared" si="188"/>
        <v>22680</v>
      </c>
      <c r="AC328" s="364">
        <f t="shared" si="188"/>
        <v>45360</v>
      </c>
      <c r="AD328" s="364">
        <f t="shared" si="188"/>
        <v>22680</v>
      </c>
      <c r="AE328" s="364">
        <f t="shared" si="188"/>
        <v>45360</v>
      </c>
      <c r="AF328" s="364">
        <f t="shared" si="188"/>
        <v>45360</v>
      </c>
      <c r="AG328" s="365">
        <f t="shared" si="188"/>
        <v>45360</v>
      </c>
      <c r="AH328" s="78">
        <v>180000</v>
      </c>
      <c r="AI328" s="78">
        <v>360000</v>
      </c>
      <c r="AJ328" s="79">
        <v>60000</v>
      </c>
      <c r="AK328" s="366">
        <f t="shared" si="188"/>
        <v>22680</v>
      </c>
      <c r="AL328" s="364">
        <f t="shared" si="188"/>
        <v>22680</v>
      </c>
      <c r="AM328" s="75">
        <v>150000</v>
      </c>
      <c r="AN328" s="75">
        <v>60000</v>
      </c>
      <c r="AO328" s="364">
        <f t="shared" si="166"/>
        <v>68040</v>
      </c>
      <c r="AP328" s="364">
        <f t="shared" si="166"/>
        <v>45360</v>
      </c>
      <c r="AQ328" s="364">
        <f t="shared" si="166"/>
        <v>22680</v>
      </c>
    </row>
    <row r="329" spans="1:43" ht="14.25" x14ac:dyDescent="0.15">
      <c r="A329" s="343"/>
      <c r="B329" s="105" t="s">
        <v>69</v>
      </c>
      <c r="C329" s="309">
        <f t="shared" ref="C329:G330" si="189">+C15*0.7</f>
        <v>147000</v>
      </c>
      <c r="D329" s="309">
        <f t="shared" si="189"/>
        <v>92400</v>
      </c>
      <c r="E329" s="309">
        <f t="shared" si="189"/>
        <v>92400</v>
      </c>
      <c r="F329" s="309">
        <f t="shared" si="189"/>
        <v>92400</v>
      </c>
      <c r="G329" s="309">
        <f t="shared" si="189"/>
        <v>92400</v>
      </c>
      <c r="H329" s="309">
        <f t="shared" si="177"/>
        <v>168000</v>
      </c>
      <c r="I329" s="309">
        <f t="shared" si="177"/>
        <v>201600</v>
      </c>
      <c r="J329" s="42" t="s">
        <v>1183</v>
      </c>
      <c r="K329" s="309"/>
      <c r="L329" s="309">
        <f t="shared" si="164"/>
        <v>109200</v>
      </c>
      <c r="M329" s="316">
        <f t="shared" si="168"/>
        <v>130899.99999999999</v>
      </c>
      <c r="N329" s="316">
        <f t="shared" ref="N329:P329" si="190">+N15*0.7</f>
        <v>157080</v>
      </c>
      <c r="O329" s="316">
        <f t="shared" si="190"/>
        <v>157080</v>
      </c>
      <c r="P329" s="316">
        <f t="shared" si="190"/>
        <v>183259.99999999997</v>
      </c>
      <c r="Q329" s="316">
        <f t="shared" si="168"/>
        <v>13090</v>
      </c>
      <c r="R329" s="107"/>
      <c r="S329" s="77">
        <v>25000</v>
      </c>
      <c r="T329" s="110">
        <v>60000</v>
      </c>
      <c r="U329" s="110"/>
      <c r="V329" s="110">
        <v>3000</v>
      </c>
      <c r="W329" s="320"/>
      <c r="X329" s="110">
        <v>2000</v>
      </c>
      <c r="Y329" s="113">
        <v>2000</v>
      </c>
      <c r="Z329" s="363">
        <f t="shared" ref="Z329:AL329" si="191">+Z15*0.7</f>
        <v>14699.999999999998</v>
      </c>
      <c r="AA329" s="364">
        <f t="shared" si="191"/>
        <v>58799.999999999993</v>
      </c>
      <c r="AB329" s="364">
        <f t="shared" si="191"/>
        <v>29399.999999999996</v>
      </c>
      <c r="AC329" s="364">
        <f t="shared" si="191"/>
        <v>58799.999999999993</v>
      </c>
      <c r="AD329" s="364">
        <f t="shared" si="191"/>
        <v>29399.999999999996</v>
      </c>
      <c r="AE329" s="364">
        <f t="shared" si="191"/>
        <v>58799.999999999993</v>
      </c>
      <c r="AF329" s="364">
        <f t="shared" si="191"/>
        <v>58799.999999999993</v>
      </c>
      <c r="AG329" s="365">
        <f t="shared" si="191"/>
        <v>58799.999999999993</v>
      </c>
      <c r="AH329" s="75">
        <v>180000</v>
      </c>
      <c r="AI329" s="75">
        <v>360000</v>
      </c>
      <c r="AJ329" s="76">
        <v>60000</v>
      </c>
      <c r="AK329" s="366">
        <f t="shared" si="191"/>
        <v>29399.999999999996</v>
      </c>
      <c r="AL329" s="364">
        <f t="shared" si="191"/>
        <v>29399.999999999996</v>
      </c>
      <c r="AM329" s="75">
        <v>150000</v>
      </c>
      <c r="AN329" s="75">
        <v>60000</v>
      </c>
      <c r="AO329" s="364">
        <f t="shared" si="166"/>
        <v>88200</v>
      </c>
      <c r="AP329" s="364">
        <f t="shared" si="166"/>
        <v>58799.999999999993</v>
      </c>
      <c r="AQ329" s="364">
        <f t="shared" si="166"/>
        <v>29399.999999999996</v>
      </c>
    </row>
    <row r="330" spans="1:43" ht="14.25" x14ac:dyDescent="0.15">
      <c r="A330" s="343"/>
      <c r="B330" s="105" t="s">
        <v>70</v>
      </c>
      <c r="C330" s="309">
        <f t="shared" si="189"/>
        <v>176400</v>
      </c>
      <c r="D330" s="309">
        <f t="shared" si="189"/>
        <v>121799.99999999999</v>
      </c>
      <c r="E330" s="309">
        <f t="shared" si="189"/>
        <v>121799.99999999999</v>
      </c>
      <c r="F330" s="309">
        <f t="shared" si="189"/>
        <v>121799.99999999999</v>
      </c>
      <c r="G330" s="309">
        <f t="shared" si="189"/>
        <v>121799.99999999999</v>
      </c>
      <c r="H330" s="309">
        <f t="shared" si="177"/>
        <v>184800</v>
      </c>
      <c r="I330" s="309">
        <f t="shared" si="177"/>
        <v>221760</v>
      </c>
      <c r="J330" s="42" t="s">
        <v>1183</v>
      </c>
      <c r="K330" s="309"/>
      <c r="L330" s="309">
        <f t="shared" si="164"/>
        <v>151200</v>
      </c>
      <c r="M330" s="316">
        <f t="shared" si="168"/>
        <v>181300</v>
      </c>
      <c r="N330" s="316">
        <f t="shared" ref="N330:P330" si="192">+N16*0.7</f>
        <v>217560</v>
      </c>
      <c r="O330" s="316">
        <f t="shared" si="192"/>
        <v>217560</v>
      </c>
      <c r="P330" s="316">
        <f t="shared" si="192"/>
        <v>253819.99999999997</v>
      </c>
      <c r="Q330" s="316">
        <f t="shared" si="168"/>
        <v>18130</v>
      </c>
      <c r="R330" s="107"/>
      <c r="S330" s="77">
        <v>25000</v>
      </c>
      <c r="T330" s="110">
        <v>60000</v>
      </c>
      <c r="U330" s="110"/>
      <c r="V330" s="110">
        <v>3000</v>
      </c>
      <c r="W330" s="320"/>
      <c r="X330" s="110">
        <v>2000</v>
      </c>
      <c r="Y330" s="113">
        <v>2000</v>
      </c>
      <c r="Z330" s="363">
        <f t="shared" ref="Z330:AL330" si="193">+Z16*0.7</f>
        <v>17640</v>
      </c>
      <c r="AA330" s="364">
        <f t="shared" si="193"/>
        <v>70560</v>
      </c>
      <c r="AB330" s="364">
        <f t="shared" si="193"/>
        <v>35280</v>
      </c>
      <c r="AC330" s="364">
        <f t="shared" si="193"/>
        <v>70560</v>
      </c>
      <c r="AD330" s="364">
        <f t="shared" si="193"/>
        <v>35280</v>
      </c>
      <c r="AE330" s="364">
        <f t="shared" si="193"/>
        <v>70560</v>
      </c>
      <c r="AF330" s="364">
        <f t="shared" si="193"/>
        <v>70560</v>
      </c>
      <c r="AG330" s="365">
        <f t="shared" si="193"/>
        <v>70560</v>
      </c>
      <c r="AH330" s="78">
        <v>180000</v>
      </c>
      <c r="AI330" s="78">
        <v>360000</v>
      </c>
      <c r="AJ330" s="79">
        <v>60000</v>
      </c>
      <c r="AK330" s="366">
        <f t="shared" si="193"/>
        <v>35280</v>
      </c>
      <c r="AL330" s="364">
        <f t="shared" si="193"/>
        <v>35280</v>
      </c>
      <c r="AM330" s="75">
        <v>150000</v>
      </c>
      <c r="AN330" s="75">
        <v>60000</v>
      </c>
      <c r="AO330" s="364">
        <f t="shared" si="166"/>
        <v>105840</v>
      </c>
      <c r="AP330" s="364">
        <f t="shared" si="166"/>
        <v>70560</v>
      </c>
      <c r="AQ330" s="364">
        <f t="shared" si="166"/>
        <v>35280</v>
      </c>
    </row>
    <row r="331" spans="1:43" ht="14.25" x14ac:dyDescent="0.15">
      <c r="A331" s="343"/>
      <c r="B331" s="105" t="s">
        <v>71</v>
      </c>
      <c r="C331" s="309">
        <f t="shared" ref="C331:G338" si="194">+C19*0.7</f>
        <v>244999.99999999997</v>
      </c>
      <c r="D331" s="309">
        <f t="shared" si="194"/>
        <v>134400</v>
      </c>
      <c r="E331" s="309">
        <f t="shared" si="194"/>
        <v>134400</v>
      </c>
      <c r="F331" s="309">
        <f t="shared" si="194"/>
        <v>134400</v>
      </c>
      <c r="G331" s="309">
        <f t="shared" si="194"/>
        <v>134400</v>
      </c>
      <c r="H331" s="309">
        <f t="shared" ref="H331:I343" si="195">+H19*0.7</f>
        <v>201600</v>
      </c>
      <c r="I331" s="309">
        <f t="shared" si="195"/>
        <v>241919.99999999997</v>
      </c>
      <c r="J331" s="42" t="s">
        <v>1183</v>
      </c>
      <c r="K331" s="309"/>
      <c r="L331" s="309">
        <f t="shared" ref="L331:L343" si="196">+L19*0.7</f>
        <v>184800</v>
      </c>
      <c r="M331" s="316">
        <f t="shared" ref="M331:Q343" si="197">+M19*0.7</f>
        <v>221900</v>
      </c>
      <c r="N331" s="316">
        <f t="shared" ref="N331:P331" si="198">+N19*0.7</f>
        <v>266280</v>
      </c>
      <c r="O331" s="316">
        <f t="shared" si="198"/>
        <v>266280</v>
      </c>
      <c r="P331" s="316">
        <f t="shared" si="198"/>
        <v>310660</v>
      </c>
      <c r="Q331" s="316">
        <f t="shared" si="197"/>
        <v>22190</v>
      </c>
      <c r="R331" s="107"/>
      <c r="S331" s="77">
        <v>25000</v>
      </c>
      <c r="T331" s="110">
        <v>60000</v>
      </c>
      <c r="U331" s="110"/>
      <c r="V331" s="110">
        <v>3000</v>
      </c>
      <c r="W331" s="320"/>
      <c r="X331" s="110">
        <v>2000</v>
      </c>
      <c r="Y331" s="113">
        <v>2000</v>
      </c>
      <c r="Z331" s="363">
        <f t="shared" ref="Z331:AL331" si="199">+Z19*0.7</f>
        <v>24500</v>
      </c>
      <c r="AA331" s="364">
        <f t="shared" si="199"/>
        <v>98000</v>
      </c>
      <c r="AB331" s="364">
        <f t="shared" si="199"/>
        <v>49000</v>
      </c>
      <c r="AC331" s="364">
        <f t="shared" si="199"/>
        <v>98000</v>
      </c>
      <c r="AD331" s="364">
        <f t="shared" si="199"/>
        <v>49000</v>
      </c>
      <c r="AE331" s="364">
        <f t="shared" si="199"/>
        <v>98000</v>
      </c>
      <c r="AF331" s="364">
        <f t="shared" si="199"/>
        <v>98000</v>
      </c>
      <c r="AG331" s="365">
        <f t="shared" si="199"/>
        <v>98000</v>
      </c>
      <c r="AH331" s="75">
        <v>180000</v>
      </c>
      <c r="AI331" s="75">
        <v>360000</v>
      </c>
      <c r="AJ331" s="76">
        <v>60000</v>
      </c>
      <c r="AK331" s="366">
        <f t="shared" si="199"/>
        <v>49000</v>
      </c>
      <c r="AL331" s="364">
        <f t="shared" si="199"/>
        <v>49000</v>
      </c>
      <c r="AM331" s="75">
        <v>150000</v>
      </c>
      <c r="AN331" s="75">
        <v>60000</v>
      </c>
      <c r="AO331" s="364">
        <f t="shared" ref="AO331:AQ343" si="200">+AO19*0.7</f>
        <v>147000</v>
      </c>
      <c r="AP331" s="364">
        <f t="shared" si="200"/>
        <v>98000</v>
      </c>
      <c r="AQ331" s="364">
        <f t="shared" si="200"/>
        <v>49000</v>
      </c>
    </row>
    <row r="332" spans="1:43" ht="14.25" x14ac:dyDescent="0.15">
      <c r="A332" s="343"/>
      <c r="B332" s="105" t="s">
        <v>72</v>
      </c>
      <c r="C332" s="309">
        <f t="shared" si="194"/>
        <v>294000</v>
      </c>
      <c r="D332" s="309">
        <f t="shared" si="194"/>
        <v>156800</v>
      </c>
      <c r="E332" s="309">
        <f t="shared" si="194"/>
        <v>156800</v>
      </c>
      <c r="F332" s="309">
        <f t="shared" si="194"/>
        <v>156800</v>
      </c>
      <c r="G332" s="309">
        <f t="shared" si="194"/>
        <v>156800</v>
      </c>
      <c r="H332" s="309">
        <f t="shared" si="195"/>
        <v>218400</v>
      </c>
      <c r="I332" s="309">
        <f t="shared" si="195"/>
        <v>262079.99999999997</v>
      </c>
      <c r="J332" s="42" t="s">
        <v>1183</v>
      </c>
      <c r="K332" s="309"/>
      <c r="L332" s="309">
        <f t="shared" si="196"/>
        <v>210000</v>
      </c>
      <c r="M332" s="316">
        <f t="shared" si="197"/>
        <v>251999.99999999997</v>
      </c>
      <c r="N332" s="316">
        <f t="shared" ref="N332:P332" si="201">+N20*0.7</f>
        <v>302400</v>
      </c>
      <c r="O332" s="316">
        <f t="shared" si="201"/>
        <v>302400</v>
      </c>
      <c r="P332" s="316">
        <f t="shared" si="201"/>
        <v>352799.99999999994</v>
      </c>
      <c r="Q332" s="316">
        <f t="shared" si="197"/>
        <v>25200</v>
      </c>
      <c r="R332" s="107"/>
      <c r="S332" s="77">
        <v>25000</v>
      </c>
      <c r="T332" s="110">
        <v>60000</v>
      </c>
      <c r="U332" s="110"/>
      <c r="V332" s="110">
        <v>3000</v>
      </c>
      <c r="W332" s="320"/>
      <c r="X332" s="110">
        <v>2000</v>
      </c>
      <c r="Y332" s="113">
        <v>2000</v>
      </c>
      <c r="Z332" s="363">
        <f t="shared" ref="Z332:AL332" si="202">+Z20*0.7</f>
        <v>29399.999999999996</v>
      </c>
      <c r="AA332" s="364">
        <f t="shared" si="202"/>
        <v>117599.99999999999</v>
      </c>
      <c r="AB332" s="364">
        <f t="shared" si="202"/>
        <v>58799.999999999993</v>
      </c>
      <c r="AC332" s="364">
        <f t="shared" si="202"/>
        <v>117599.99999999999</v>
      </c>
      <c r="AD332" s="364">
        <f t="shared" si="202"/>
        <v>58799.999999999993</v>
      </c>
      <c r="AE332" s="364">
        <f t="shared" si="202"/>
        <v>117599.99999999999</v>
      </c>
      <c r="AF332" s="364">
        <f t="shared" si="202"/>
        <v>117599.99999999999</v>
      </c>
      <c r="AG332" s="365">
        <f t="shared" si="202"/>
        <v>117599.99999999999</v>
      </c>
      <c r="AH332" s="78">
        <v>180000</v>
      </c>
      <c r="AI332" s="78">
        <v>360000</v>
      </c>
      <c r="AJ332" s="79">
        <v>60000</v>
      </c>
      <c r="AK332" s="366">
        <f t="shared" si="202"/>
        <v>58799.999999999993</v>
      </c>
      <c r="AL332" s="364">
        <f t="shared" si="202"/>
        <v>58799.999999999993</v>
      </c>
      <c r="AM332" s="75">
        <v>150000</v>
      </c>
      <c r="AN332" s="75">
        <v>60000</v>
      </c>
      <c r="AO332" s="364">
        <f t="shared" si="200"/>
        <v>176400</v>
      </c>
      <c r="AP332" s="364">
        <f t="shared" si="200"/>
        <v>117599.99999999999</v>
      </c>
      <c r="AQ332" s="364">
        <f t="shared" si="200"/>
        <v>58799.999999999993</v>
      </c>
    </row>
    <row r="333" spans="1:43" ht="14.25" x14ac:dyDescent="0.15">
      <c r="A333" s="343"/>
      <c r="B333" s="105" t="s">
        <v>73</v>
      </c>
      <c r="C333" s="309">
        <f t="shared" si="194"/>
        <v>336000</v>
      </c>
      <c r="D333" s="309">
        <f t="shared" si="194"/>
        <v>184800</v>
      </c>
      <c r="E333" s="309">
        <f t="shared" si="194"/>
        <v>184800</v>
      </c>
      <c r="F333" s="309">
        <f t="shared" si="194"/>
        <v>184800</v>
      </c>
      <c r="G333" s="309">
        <f t="shared" si="194"/>
        <v>184800</v>
      </c>
      <c r="H333" s="309">
        <f t="shared" si="195"/>
        <v>243599.99999999997</v>
      </c>
      <c r="I333" s="309">
        <f t="shared" si="195"/>
        <v>292320</v>
      </c>
      <c r="J333" s="42" t="s">
        <v>1183</v>
      </c>
      <c r="K333" s="309"/>
      <c r="L333" s="309">
        <f t="shared" si="196"/>
        <v>251999.99999999997</v>
      </c>
      <c r="M333" s="316">
        <f t="shared" si="197"/>
        <v>302400</v>
      </c>
      <c r="N333" s="316">
        <f t="shared" ref="N333:P333" si="203">+N21*0.7</f>
        <v>362880</v>
      </c>
      <c r="O333" s="316">
        <f t="shared" si="203"/>
        <v>362880</v>
      </c>
      <c r="P333" s="316">
        <f t="shared" si="203"/>
        <v>423360</v>
      </c>
      <c r="Q333" s="316">
        <f t="shared" si="197"/>
        <v>30239.999999999996</v>
      </c>
      <c r="R333" s="107"/>
      <c r="S333" s="77">
        <v>25000</v>
      </c>
      <c r="T333" s="110">
        <v>60000</v>
      </c>
      <c r="U333" s="110"/>
      <c r="V333" s="110">
        <v>3000</v>
      </c>
      <c r="W333" s="320"/>
      <c r="X333" s="110">
        <v>2000</v>
      </c>
      <c r="Y333" s="113">
        <v>2000</v>
      </c>
      <c r="Z333" s="363">
        <f t="shared" ref="Z333:AL333" si="204">+Z21*0.7</f>
        <v>33600</v>
      </c>
      <c r="AA333" s="364">
        <f t="shared" si="204"/>
        <v>134400</v>
      </c>
      <c r="AB333" s="364">
        <f t="shared" si="204"/>
        <v>67200</v>
      </c>
      <c r="AC333" s="364">
        <f t="shared" si="204"/>
        <v>134400</v>
      </c>
      <c r="AD333" s="364">
        <f t="shared" si="204"/>
        <v>67200</v>
      </c>
      <c r="AE333" s="364">
        <f t="shared" si="204"/>
        <v>134400</v>
      </c>
      <c r="AF333" s="364">
        <f t="shared" si="204"/>
        <v>134400</v>
      </c>
      <c r="AG333" s="365">
        <f t="shared" si="204"/>
        <v>134400</v>
      </c>
      <c r="AH333" s="75">
        <v>180000</v>
      </c>
      <c r="AI333" s="75">
        <v>360000</v>
      </c>
      <c r="AJ333" s="76">
        <v>60000</v>
      </c>
      <c r="AK333" s="366">
        <f t="shared" si="204"/>
        <v>67200</v>
      </c>
      <c r="AL333" s="364">
        <f t="shared" si="204"/>
        <v>67200</v>
      </c>
      <c r="AM333" s="75">
        <v>150000</v>
      </c>
      <c r="AN333" s="75">
        <v>60000</v>
      </c>
      <c r="AO333" s="364">
        <f t="shared" si="200"/>
        <v>201600</v>
      </c>
      <c r="AP333" s="364">
        <f t="shared" si="200"/>
        <v>134400</v>
      </c>
      <c r="AQ333" s="364">
        <f t="shared" si="200"/>
        <v>67200</v>
      </c>
    </row>
    <row r="334" spans="1:43" ht="14.25" x14ac:dyDescent="0.15">
      <c r="A334" s="343"/>
      <c r="B334" s="105" t="s">
        <v>74</v>
      </c>
      <c r="C334" s="309">
        <f t="shared" si="194"/>
        <v>378000</v>
      </c>
      <c r="D334" s="309">
        <f t="shared" si="194"/>
        <v>222600</v>
      </c>
      <c r="E334" s="309">
        <f t="shared" si="194"/>
        <v>222600</v>
      </c>
      <c r="F334" s="309">
        <f t="shared" si="194"/>
        <v>222600</v>
      </c>
      <c r="G334" s="309">
        <f t="shared" si="194"/>
        <v>222600</v>
      </c>
      <c r="H334" s="309">
        <f t="shared" si="195"/>
        <v>268800</v>
      </c>
      <c r="I334" s="309">
        <f t="shared" si="195"/>
        <v>322560</v>
      </c>
      <c r="J334" s="42" t="s">
        <v>1183</v>
      </c>
      <c r="K334" s="309"/>
      <c r="L334" s="309">
        <f t="shared" si="196"/>
        <v>294000</v>
      </c>
      <c r="M334" s="316">
        <f t="shared" si="197"/>
        <v>352800</v>
      </c>
      <c r="N334" s="316">
        <f t="shared" ref="N334:P334" si="205">+N22*0.7</f>
        <v>423360</v>
      </c>
      <c r="O334" s="316">
        <f t="shared" si="205"/>
        <v>423360</v>
      </c>
      <c r="P334" s="316">
        <f t="shared" si="205"/>
        <v>493919.99999999994</v>
      </c>
      <c r="Q334" s="316">
        <f t="shared" si="197"/>
        <v>35280</v>
      </c>
      <c r="R334" s="107"/>
      <c r="S334" s="77">
        <v>25000</v>
      </c>
      <c r="T334" s="110">
        <v>60000</v>
      </c>
      <c r="U334" s="110"/>
      <c r="V334" s="110">
        <v>3000</v>
      </c>
      <c r="W334" s="320"/>
      <c r="X334" s="110">
        <v>2000</v>
      </c>
      <c r="Y334" s="113">
        <v>2000</v>
      </c>
      <c r="Z334" s="363">
        <f t="shared" ref="Z334:AL334" si="206">+Z22*0.7</f>
        <v>37800</v>
      </c>
      <c r="AA334" s="364">
        <f t="shared" si="206"/>
        <v>151200</v>
      </c>
      <c r="AB334" s="364">
        <f t="shared" si="206"/>
        <v>75600</v>
      </c>
      <c r="AC334" s="364">
        <f t="shared" si="206"/>
        <v>151200</v>
      </c>
      <c r="AD334" s="364">
        <f t="shared" si="206"/>
        <v>75600</v>
      </c>
      <c r="AE334" s="364">
        <f t="shared" si="206"/>
        <v>151200</v>
      </c>
      <c r="AF334" s="364">
        <f t="shared" si="206"/>
        <v>151200</v>
      </c>
      <c r="AG334" s="365">
        <f t="shared" si="206"/>
        <v>151200</v>
      </c>
      <c r="AH334" s="78">
        <v>180000</v>
      </c>
      <c r="AI334" s="78">
        <v>360000</v>
      </c>
      <c r="AJ334" s="79">
        <v>60000</v>
      </c>
      <c r="AK334" s="366">
        <f t="shared" si="206"/>
        <v>75600</v>
      </c>
      <c r="AL334" s="364">
        <f t="shared" si="206"/>
        <v>75600</v>
      </c>
      <c r="AM334" s="75">
        <v>150000</v>
      </c>
      <c r="AN334" s="75">
        <v>60000</v>
      </c>
      <c r="AO334" s="364">
        <f t="shared" si="200"/>
        <v>226800</v>
      </c>
      <c r="AP334" s="364">
        <f t="shared" si="200"/>
        <v>151200</v>
      </c>
      <c r="AQ334" s="364">
        <f t="shared" si="200"/>
        <v>75600</v>
      </c>
    </row>
    <row r="335" spans="1:43" ht="14.25" x14ac:dyDescent="0.15">
      <c r="A335" s="343"/>
      <c r="B335" s="105" t="s">
        <v>75</v>
      </c>
      <c r="C335" s="309">
        <f t="shared" si="194"/>
        <v>420000</v>
      </c>
      <c r="D335" s="309">
        <f t="shared" si="194"/>
        <v>230999.99999999997</v>
      </c>
      <c r="E335" s="309">
        <f t="shared" si="194"/>
        <v>230999.99999999997</v>
      </c>
      <c r="F335" s="309">
        <f t="shared" si="194"/>
        <v>230999.99999999997</v>
      </c>
      <c r="G335" s="309">
        <f t="shared" si="194"/>
        <v>230999.99999999997</v>
      </c>
      <c r="H335" s="309">
        <f t="shared" si="195"/>
        <v>294000</v>
      </c>
      <c r="I335" s="309">
        <f t="shared" si="195"/>
        <v>352800</v>
      </c>
      <c r="J335" s="42" t="s">
        <v>1183</v>
      </c>
      <c r="K335" s="309"/>
      <c r="L335" s="309">
        <f t="shared" si="196"/>
        <v>336000</v>
      </c>
      <c r="M335" s="316">
        <f t="shared" si="197"/>
        <v>403200</v>
      </c>
      <c r="N335" s="316">
        <f t="shared" ref="N335:P335" si="207">+N23*0.7</f>
        <v>483839.99999999994</v>
      </c>
      <c r="O335" s="316">
        <f t="shared" si="207"/>
        <v>483839.99999999994</v>
      </c>
      <c r="P335" s="316">
        <f t="shared" si="207"/>
        <v>564480</v>
      </c>
      <c r="Q335" s="316">
        <f t="shared" si="197"/>
        <v>40320</v>
      </c>
      <c r="R335" s="107"/>
      <c r="S335" s="77">
        <v>25000</v>
      </c>
      <c r="T335" s="110">
        <v>60000</v>
      </c>
      <c r="U335" s="110"/>
      <c r="V335" s="110">
        <v>3000</v>
      </c>
      <c r="W335" s="320"/>
      <c r="X335" s="110">
        <v>2000</v>
      </c>
      <c r="Y335" s="113">
        <v>2000</v>
      </c>
      <c r="Z335" s="363">
        <f t="shared" ref="Z335:AL335" si="208">+Z23*0.7</f>
        <v>42000</v>
      </c>
      <c r="AA335" s="364">
        <f t="shared" si="208"/>
        <v>168000</v>
      </c>
      <c r="AB335" s="364">
        <f t="shared" si="208"/>
        <v>84000</v>
      </c>
      <c r="AC335" s="364">
        <f t="shared" si="208"/>
        <v>168000</v>
      </c>
      <c r="AD335" s="364">
        <f t="shared" si="208"/>
        <v>84000</v>
      </c>
      <c r="AE335" s="364">
        <f t="shared" si="208"/>
        <v>168000</v>
      </c>
      <c r="AF335" s="364">
        <f t="shared" si="208"/>
        <v>168000</v>
      </c>
      <c r="AG335" s="365">
        <f t="shared" si="208"/>
        <v>168000</v>
      </c>
      <c r="AH335" s="75">
        <v>180000</v>
      </c>
      <c r="AI335" s="75">
        <v>360000</v>
      </c>
      <c r="AJ335" s="76">
        <v>60000</v>
      </c>
      <c r="AK335" s="366">
        <f t="shared" si="208"/>
        <v>84000</v>
      </c>
      <c r="AL335" s="364">
        <f t="shared" si="208"/>
        <v>84000</v>
      </c>
      <c r="AM335" s="75">
        <v>150000</v>
      </c>
      <c r="AN335" s="75">
        <v>60000</v>
      </c>
      <c r="AO335" s="364">
        <f t="shared" si="200"/>
        <v>251999.99999999997</v>
      </c>
      <c r="AP335" s="364">
        <f t="shared" si="200"/>
        <v>168000</v>
      </c>
      <c r="AQ335" s="364">
        <f t="shared" si="200"/>
        <v>84000</v>
      </c>
    </row>
    <row r="336" spans="1:43" ht="14.25" x14ac:dyDescent="0.15">
      <c r="A336" s="343"/>
      <c r="B336" s="105" t="s">
        <v>76</v>
      </c>
      <c r="C336" s="309">
        <f t="shared" si="194"/>
        <v>503999.99999999994</v>
      </c>
      <c r="D336" s="309">
        <f t="shared" si="194"/>
        <v>268800</v>
      </c>
      <c r="E336" s="309">
        <f t="shared" si="194"/>
        <v>268800</v>
      </c>
      <c r="F336" s="309">
        <f t="shared" si="194"/>
        <v>268800</v>
      </c>
      <c r="G336" s="309">
        <f t="shared" si="194"/>
        <v>268800</v>
      </c>
      <c r="H336" s="309">
        <f t="shared" si="195"/>
        <v>319200</v>
      </c>
      <c r="I336" s="309">
        <f t="shared" si="195"/>
        <v>383040</v>
      </c>
      <c r="J336" s="42" t="s">
        <v>1183</v>
      </c>
      <c r="K336" s="309"/>
      <c r="L336" s="309">
        <f t="shared" si="196"/>
        <v>378000</v>
      </c>
      <c r="M336" s="316">
        <f t="shared" si="197"/>
        <v>453600</v>
      </c>
      <c r="N336" s="316">
        <f t="shared" ref="N336:P336" si="209">+N24*0.7</f>
        <v>544320</v>
      </c>
      <c r="O336" s="316">
        <f t="shared" si="209"/>
        <v>544320</v>
      </c>
      <c r="P336" s="316">
        <f t="shared" si="209"/>
        <v>635040</v>
      </c>
      <c r="Q336" s="316">
        <f t="shared" si="197"/>
        <v>45360</v>
      </c>
      <c r="R336" s="107"/>
      <c r="S336" s="77">
        <v>25000</v>
      </c>
      <c r="T336" s="110">
        <v>60000</v>
      </c>
      <c r="U336" s="110"/>
      <c r="V336" s="110">
        <v>3000</v>
      </c>
      <c r="W336" s="320"/>
      <c r="X336" s="110">
        <v>2000</v>
      </c>
      <c r="Y336" s="113">
        <v>2000</v>
      </c>
      <c r="Z336" s="363">
        <f t="shared" ref="Z336:AL336" si="210">+Z24*0.7</f>
        <v>50400</v>
      </c>
      <c r="AA336" s="364">
        <f t="shared" si="210"/>
        <v>201600</v>
      </c>
      <c r="AB336" s="364">
        <f t="shared" si="210"/>
        <v>100800</v>
      </c>
      <c r="AC336" s="364">
        <f t="shared" si="210"/>
        <v>201600</v>
      </c>
      <c r="AD336" s="364">
        <f t="shared" si="210"/>
        <v>100800</v>
      </c>
      <c r="AE336" s="364">
        <f t="shared" si="210"/>
        <v>201600</v>
      </c>
      <c r="AF336" s="364">
        <f t="shared" si="210"/>
        <v>201600</v>
      </c>
      <c r="AG336" s="365">
        <f t="shared" si="210"/>
        <v>201600</v>
      </c>
      <c r="AH336" s="78">
        <v>180000</v>
      </c>
      <c r="AI336" s="78">
        <v>360000</v>
      </c>
      <c r="AJ336" s="79">
        <v>60000</v>
      </c>
      <c r="AK336" s="366">
        <f t="shared" si="210"/>
        <v>100800</v>
      </c>
      <c r="AL336" s="364">
        <f t="shared" si="210"/>
        <v>100800</v>
      </c>
      <c r="AM336" s="75">
        <v>150000</v>
      </c>
      <c r="AN336" s="75">
        <v>60000</v>
      </c>
      <c r="AO336" s="364">
        <f t="shared" si="200"/>
        <v>302400</v>
      </c>
      <c r="AP336" s="364">
        <f t="shared" si="200"/>
        <v>201600</v>
      </c>
      <c r="AQ336" s="364">
        <f t="shared" si="200"/>
        <v>100800</v>
      </c>
    </row>
    <row r="337" spans="1:43" ht="14.25" x14ac:dyDescent="0.15">
      <c r="A337" s="343"/>
      <c r="B337" s="105" t="s">
        <v>937</v>
      </c>
      <c r="C337" s="309">
        <f t="shared" si="194"/>
        <v>588000</v>
      </c>
      <c r="D337" s="309">
        <f t="shared" si="194"/>
        <v>294000</v>
      </c>
      <c r="E337" s="309">
        <f t="shared" si="194"/>
        <v>294000</v>
      </c>
      <c r="F337" s="309">
        <f t="shared" si="194"/>
        <v>294000</v>
      </c>
      <c r="G337" s="309">
        <f t="shared" si="194"/>
        <v>294000</v>
      </c>
      <c r="H337" s="317">
        <f t="shared" si="195"/>
        <v>344400</v>
      </c>
      <c r="I337" s="317">
        <f t="shared" si="195"/>
        <v>413280</v>
      </c>
      <c r="J337" s="42" t="s">
        <v>1183</v>
      </c>
      <c r="K337" s="309"/>
      <c r="L337" s="309">
        <f t="shared" si="196"/>
        <v>420000</v>
      </c>
      <c r="M337" s="316">
        <f t="shared" si="197"/>
        <v>503999.99999999994</v>
      </c>
      <c r="N337" s="316">
        <f t="shared" ref="N337:P337" si="211">+N25*0.7</f>
        <v>604800</v>
      </c>
      <c r="O337" s="316">
        <f t="shared" si="211"/>
        <v>604800</v>
      </c>
      <c r="P337" s="316">
        <f t="shared" si="211"/>
        <v>705599.99999999988</v>
      </c>
      <c r="Q337" s="316">
        <f t="shared" si="197"/>
        <v>50400</v>
      </c>
      <c r="R337" s="107"/>
      <c r="S337" s="77">
        <v>25000</v>
      </c>
      <c r="T337" s="110">
        <v>60000</v>
      </c>
      <c r="U337" s="110"/>
      <c r="V337" s="110">
        <v>3000</v>
      </c>
      <c r="W337" s="320"/>
      <c r="X337" s="110">
        <v>2000</v>
      </c>
      <c r="Y337" s="113">
        <v>2000</v>
      </c>
      <c r="Z337" s="363">
        <f t="shared" ref="Z337:AL337" si="212">+Z25*0.7</f>
        <v>58799.999999999993</v>
      </c>
      <c r="AA337" s="364">
        <f t="shared" si="212"/>
        <v>235199.99999999997</v>
      </c>
      <c r="AB337" s="364">
        <f t="shared" si="212"/>
        <v>117599.99999999999</v>
      </c>
      <c r="AC337" s="364">
        <f t="shared" si="212"/>
        <v>235199.99999999997</v>
      </c>
      <c r="AD337" s="364">
        <f t="shared" si="212"/>
        <v>117599.99999999999</v>
      </c>
      <c r="AE337" s="364">
        <f t="shared" si="212"/>
        <v>235199.99999999997</v>
      </c>
      <c r="AF337" s="364">
        <f t="shared" si="212"/>
        <v>235199.99999999997</v>
      </c>
      <c r="AG337" s="365">
        <f t="shared" si="212"/>
        <v>235199.99999999997</v>
      </c>
      <c r="AH337" s="75">
        <v>180000</v>
      </c>
      <c r="AI337" s="75">
        <v>360000</v>
      </c>
      <c r="AJ337" s="76">
        <v>60000</v>
      </c>
      <c r="AK337" s="366">
        <f t="shared" si="212"/>
        <v>117599.99999999999</v>
      </c>
      <c r="AL337" s="364">
        <f t="shared" si="212"/>
        <v>117599.99999999999</v>
      </c>
      <c r="AM337" s="75">
        <v>150000</v>
      </c>
      <c r="AN337" s="75">
        <v>60000</v>
      </c>
      <c r="AO337" s="364">
        <f t="shared" si="200"/>
        <v>352800</v>
      </c>
      <c r="AP337" s="364">
        <f t="shared" si="200"/>
        <v>235199.99999999997</v>
      </c>
      <c r="AQ337" s="364">
        <f t="shared" si="200"/>
        <v>117599.99999999999</v>
      </c>
    </row>
    <row r="338" spans="1:43" ht="14.25" x14ac:dyDescent="0.15">
      <c r="A338" s="343"/>
      <c r="B338" s="105" t="s">
        <v>938</v>
      </c>
      <c r="C338" s="309">
        <f t="shared" si="194"/>
        <v>588000</v>
      </c>
      <c r="D338" s="309">
        <f t="shared" si="194"/>
        <v>294000</v>
      </c>
      <c r="E338" s="309">
        <f t="shared" si="194"/>
        <v>294000</v>
      </c>
      <c r="F338" s="309">
        <f t="shared" si="194"/>
        <v>294000</v>
      </c>
      <c r="G338" s="309">
        <f t="shared" si="194"/>
        <v>294000</v>
      </c>
      <c r="H338" s="317">
        <f t="shared" si="195"/>
        <v>344400</v>
      </c>
      <c r="I338" s="317">
        <f t="shared" si="195"/>
        <v>413280</v>
      </c>
      <c r="J338" s="42" t="s">
        <v>1183</v>
      </c>
      <c r="K338" s="309"/>
      <c r="L338" s="309">
        <f t="shared" si="196"/>
        <v>420000</v>
      </c>
      <c r="M338" s="316">
        <f t="shared" si="197"/>
        <v>503999.99999999994</v>
      </c>
      <c r="N338" s="316">
        <f t="shared" ref="N338:P338" si="213">+N26*0.7</f>
        <v>604800</v>
      </c>
      <c r="O338" s="316">
        <f t="shared" si="213"/>
        <v>604800</v>
      </c>
      <c r="P338" s="316">
        <f t="shared" si="213"/>
        <v>705599.99999999988</v>
      </c>
      <c r="Q338" s="316">
        <f t="shared" si="197"/>
        <v>50400</v>
      </c>
      <c r="R338" s="107"/>
      <c r="S338" s="77">
        <v>25000</v>
      </c>
      <c r="T338" s="110">
        <v>60000</v>
      </c>
      <c r="U338" s="110"/>
      <c r="V338" s="110">
        <v>3000</v>
      </c>
      <c r="W338" s="320"/>
      <c r="X338" s="110">
        <v>2000</v>
      </c>
      <c r="Y338" s="113">
        <v>2000</v>
      </c>
      <c r="Z338" s="363">
        <f t="shared" ref="Z338:AL338" si="214">+Z26*0.7</f>
        <v>58799.999999999993</v>
      </c>
      <c r="AA338" s="364">
        <f t="shared" si="214"/>
        <v>235199.99999999997</v>
      </c>
      <c r="AB338" s="364">
        <f t="shared" si="214"/>
        <v>117599.99999999999</v>
      </c>
      <c r="AC338" s="364">
        <f t="shared" si="214"/>
        <v>235199.99999999997</v>
      </c>
      <c r="AD338" s="364">
        <f t="shared" si="214"/>
        <v>117599.99999999999</v>
      </c>
      <c r="AE338" s="364">
        <f t="shared" si="214"/>
        <v>235199.99999999997</v>
      </c>
      <c r="AF338" s="364">
        <f t="shared" si="214"/>
        <v>235199.99999999997</v>
      </c>
      <c r="AG338" s="365">
        <f t="shared" si="214"/>
        <v>235199.99999999997</v>
      </c>
      <c r="AH338" s="75">
        <v>180000</v>
      </c>
      <c r="AI338" s="75">
        <v>360000</v>
      </c>
      <c r="AJ338" s="76">
        <v>60000</v>
      </c>
      <c r="AK338" s="366">
        <f t="shared" si="214"/>
        <v>117599.99999999999</v>
      </c>
      <c r="AL338" s="364">
        <f t="shared" si="214"/>
        <v>117599.99999999999</v>
      </c>
      <c r="AM338" s="75">
        <v>150000</v>
      </c>
      <c r="AN338" s="75">
        <v>60000</v>
      </c>
      <c r="AO338" s="364">
        <f t="shared" si="200"/>
        <v>352800</v>
      </c>
      <c r="AP338" s="364">
        <f t="shared" si="200"/>
        <v>235199.99999999997</v>
      </c>
      <c r="AQ338" s="364">
        <f t="shared" si="200"/>
        <v>117599.99999999999</v>
      </c>
    </row>
    <row r="339" spans="1:43" ht="14.25" x14ac:dyDescent="0.15">
      <c r="A339" s="343"/>
      <c r="B339" s="105" t="s">
        <v>77</v>
      </c>
      <c r="C339" s="309">
        <f t="shared" ref="C339:G343" si="215">+C27*0.7</f>
        <v>672000</v>
      </c>
      <c r="D339" s="309">
        <f t="shared" si="215"/>
        <v>352800</v>
      </c>
      <c r="E339" s="309">
        <f t="shared" si="215"/>
        <v>352800</v>
      </c>
      <c r="F339" s="309">
        <f t="shared" si="215"/>
        <v>352800</v>
      </c>
      <c r="G339" s="309">
        <f t="shared" si="215"/>
        <v>352800</v>
      </c>
      <c r="H339" s="317">
        <f t="shared" si="195"/>
        <v>461999.99999999994</v>
      </c>
      <c r="I339" s="317">
        <f t="shared" si="195"/>
        <v>554400</v>
      </c>
      <c r="J339" s="42" t="s">
        <v>1183</v>
      </c>
      <c r="K339" s="309"/>
      <c r="L339" s="309">
        <f t="shared" si="196"/>
        <v>503999.99999999994</v>
      </c>
      <c r="M339" s="316">
        <f t="shared" si="197"/>
        <v>604800</v>
      </c>
      <c r="N339" s="316">
        <f t="shared" ref="N339:P339" si="216">+N27*0.7</f>
        <v>725760</v>
      </c>
      <c r="O339" s="316">
        <f t="shared" si="216"/>
        <v>725760</v>
      </c>
      <c r="P339" s="316">
        <f t="shared" si="216"/>
        <v>846720</v>
      </c>
      <c r="Q339" s="316">
        <f t="shared" si="197"/>
        <v>60479.999999999993</v>
      </c>
      <c r="R339" s="107"/>
      <c r="S339" s="77">
        <v>25000</v>
      </c>
      <c r="T339" s="110">
        <v>60000</v>
      </c>
      <c r="U339" s="110"/>
      <c r="V339" s="110">
        <v>3000</v>
      </c>
      <c r="W339" s="320"/>
      <c r="X339" s="110">
        <v>2000</v>
      </c>
      <c r="Y339" s="113">
        <v>2000</v>
      </c>
      <c r="Z339" s="363">
        <f t="shared" ref="Z339:AL339" si="217">+Z27*0.7</f>
        <v>67200</v>
      </c>
      <c r="AA339" s="364">
        <f t="shared" si="217"/>
        <v>268800</v>
      </c>
      <c r="AB339" s="364">
        <f t="shared" si="217"/>
        <v>134400</v>
      </c>
      <c r="AC339" s="364">
        <f t="shared" si="217"/>
        <v>268800</v>
      </c>
      <c r="AD339" s="364">
        <f t="shared" si="217"/>
        <v>134400</v>
      </c>
      <c r="AE339" s="364">
        <f t="shared" si="217"/>
        <v>268800</v>
      </c>
      <c r="AF339" s="364">
        <f t="shared" si="217"/>
        <v>268800</v>
      </c>
      <c r="AG339" s="365">
        <f t="shared" si="217"/>
        <v>268800</v>
      </c>
      <c r="AH339" s="78">
        <v>180000</v>
      </c>
      <c r="AI339" s="78">
        <v>360000</v>
      </c>
      <c r="AJ339" s="79">
        <v>60000</v>
      </c>
      <c r="AK339" s="366">
        <f t="shared" si="217"/>
        <v>134400</v>
      </c>
      <c r="AL339" s="364">
        <f t="shared" si="217"/>
        <v>134400</v>
      </c>
      <c r="AM339" s="75">
        <v>150000</v>
      </c>
      <c r="AN339" s="75">
        <v>60000</v>
      </c>
      <c r="AO339" s="364">
        <f t="shared" si="200"/>
        <v>403200</v>
      </c>
      <c r="AP339" s="364">
        <f t="shared" si="200"/>
        <v>268800</v>
      </c>
      <c r="AQ339" s="364">
        <f t="shared" si="200"/>
        <v>134400</v>
      </c>
    </row>
    <row r="340" spans="1:43" ht="14.25" x14ac:dyDescent="0.15">
      <c r="A340" s="343"/>
      <c r="B340" s="105" t="s">
        <v>78</v>
      </c>
      <c r="C340" s="309">
        <f t="shared" si="215"/>
        <v>756000</v>
      </c>
      <c r="D340" s="309">
        <f t="shared" si="215"/>
        <v>403200</v>
      </c>
      <c r="E340" s="309">
        <f t="shared" si="215"/>
        <v>403200</v>
      </c>
      <c r="F340" s="309">
        <f t="shared" si="215"/>
        <v>403200</v>
      </c>
      <c r="G340" s="309">
        <f t="shared" si="215"/>
        <v>403200</v>
      </c>
      <c r="H340" s="317">
        <f t="shared" si="195"/>
        <v>517299.99999999994</v>
      </c>
      <c r="I340" s="317">
        <f t="shared" si="195"/>
        <v>620760</v>
      </c>
      <c r="J340" s="42" t="s">
        <v>1183</v>
      </c>
      <c r="K340" s="309"/>
      <c r="L340" s="309">
        <f t="shared" si="196"/>
        <v>588000</v>
      </c>
      <c r="M340" s="316">
        <f t="shared" si="197"/>
        <v>705600</v>
      </c>
      <c r="N340" s="316">
        <f t="shared" ref="N340:P340" si="218">+N28*0.7</f>
        <v>846720</v>
      </c>
      <c r="O340" s="316">
        <f t="shared" si="218"/>
        <v>846720</v>
      </c>
      <c r="P340" s="316">
        <f t="shared" si="218"/>
        <v>987839.99999999988</v>
      </c>
      <c r="Q340" s="316">
        <f t="shared" si="197"/>
        <v>70560</v>
      </c>
      <c r="R340" s="107"/>
      <c r="S340" s="77">
        <v>25000</v>
      </c>
      <c r="T340" s="110">
        <v>60000</v>
      </c>
      <c r="U340" s="110"/>
      <c r="V340" s="110">
        <v>3000</v>
      </c>
      <c r="W340" s="320"/>
      <c r="X340" s="110">
        <v>2000</v>
      </c>
      <c r="Y340" s="113">
        <v>2000</v>
      </c>
      <c r="Z340" s="363">
        <f t="shared" ref="Z340:AL340" si="219">+Z28*0.7</f>
        <v>75600</v>
      </c>
      <c r="AA340" s="364">
        <f t="shared" si="219"/>
        <v>302400</v>
      </c>
      <c r="AB340" s="364">
        <f t="shared" si="219"/>
        <v>151200</v>
      </c>
      <c r="AC340" s="364">
        <f t="shared" si="219"/>
        <v>302400</v>
      </c>
      <c r="AD340" s="364">
        <f t="shared" si="219"/>
        <v>151200</v>
      </c>
      <c r="AE340" s="364">
        <f t="shared" si="219"/>
        <v>302400</v>
      </c>
      <c r="AF340" s="364">
        <f t="shared" si="219"/>
        <v>302400</v>
      </c>
      <c r="AG340" s="365">
        <f t="shared" si="219"/>
        <v>302400</v>
      </c>
      <c r="AH340" s="75">
        <v>180000</v>
      </c>
      <c r="AI340" s="75">
        <v>360000</v>
      </c>
      <c r="AJ340" s="76">
        <v>60000</v>
      </c>
      <c r="AK340" s="366">
        <f t="shared" si="219"/>
        <v>151200</v>
      </c>
      <c r="AL340" s="364">
        <f t="shared" si="219"/>
        <v>151200</v>
      </c>
      <c r="AM340" s="75">
        <v>150000</v>
      </c>
      <c r="AN340" s="75">
        <v>60000</v>
      </c>
      <c r="AO340" s="364">
        <f t="shared" si="200"/>
        <v>453600</v>
      </c>
      <c r="AP340" s="364">
        <f t="shared" si="200"/>
        <v>302400</v>
      </c>
      <c r="AQ340" s="364">
        <f t="shared" si="200"/>
        <v>151200</v>
      </c>
    </row>
    <row r="341" spans="1:43" ht="14.25" x14ac:dyDescent="0.15">
      <c r="A341" s="343"/>
      <c r="B341" s="105" t="s">
        <v>79</v>
      </c>
      <c r="C341" s="309">
        <f t="shared" si="215"/>
        <v>840000</v>
      </c>
      <c r="D341" s="309">
        <f t="shared" si="215"/>
        <v>461999.99999999994</v>
      </c>
      <c r="E341" s="309">
        <f t="shared" si="215"/>
        <v>461999.99999999994</v>
      </c>
      <c r="F341" s="309">
        <f t="shared" si="215"/>
        <v>461999.99999999994</v>
      </c>
      <c r="G341" s="309">
        <f t="shared" si="215"/>
        <v>461999.99999999994</v>
      </c>
      <c r="H341" s="317">
        <f t="shared" si="195"/>
        <v>572600</v>
      </c>
      <c r="I341" s="317">
        <f t="shared" si="195"/>
        <v>687120</v>
      </c>
      <c r="J341" s="42" t="s">
        <v>1183</v>
      </c>
      <c r="K341" s="309"/>
      <c r="L341" s="309">
        <f t="shared" si="196"/>
        <v>672000</v>
      </c>
      <c r="M341" s="316">
        <f t="shared" si="197"/>
        <v>806400</v>
      </c>
      <c r="N341" s="316">
        <f t="shared" ref="N341:P341" si="220">+N29*0.7</f>
        <v>967679.99999999988</v>
      </c>
      <c r="O341" s="316">
        <f t="shared" si="220"/>
        <v>967679.99999999988</v>
      </c>
      <c r="P341" s="316">
        <f t="shared" si="220"/>
        <v>1128960</v>
      </c>
      <c r="Q341" s="316">
        <f t="shared" si="197"/>
        <v>80640</v>
      </c>
      <c r="R341" s="107"/>
      <c r="S341" s="77">
        <v>25000</v>
      </c>
      <c r="T341" s="110">
        <v>60000</v>
      </c>
      <c r="U341" s="110"/>
      <c r="V341" s="110">
        <v>3000</v>
      </c>
      <c r="W341" s="320"/>
      <c r="X341" s="110">
        <v>2000</v>
      </c>
      <c r="Y341" s="113">
        <v>2000</v>
      </c>
      <c r="Z341" s="363">
        <f t="shared" ref="Z341:AL341" si="221">+Z29*0.7</f>
        <v>84000</v>
      </c>
      <c r="AA341" s="364">
        <f t="shared" si="221"/>
        <v>336000</v>
      </c>
      <c r="AB341" s="364">
        <f t="shared" si="221"/>
        <v>168000</v>
      </c>
      <c r="AC341" s="364">
        <f t="shared" si="221"/>
        <v>336000</v>
      </c>
      <c r="AD341" s="364">
        <f t="shared" si="221"/>
        <v>168000</v>
      </c>
      <c r="AE341" s="364">
        <f t="shared" si="221"/>
        <v>336000</v>
      </c>
      <c r="AF341" s="364">
        <f t="shared" si="221"/>
        <v>336000</v>
      </c>
      <c r="AG341" s="365">
        <f t="shared" si="221"/>
        <v>336000</v>
      </c>
      <c r="AH341" s="78">
        <v>180000</v>
      </c>
      <c r="AI341" s="78">
        <v>360000</v>
      </c>
      <c r="AJ341" s="79">
        <v>60000</v>
      </c>
      <c r="AK341" s="366">
        <f t="shared" si="221"/>
        <v>168000</v>
      </c>
      <c r="AL341" s="364">
        <f t="shared" si="221"/>
        <v>168000</v>
      </c>
      <c r="AM341" s="75">
        <v>150000</v>
      </c>
      <c r="AN341" s="75">
        <v>60000</v>
      </c>
      <c r="AO341" s="364">
        <f t="shared" si="200"/>
        <v>503999.99999999994</v>
      </c>
      <c r="AP341" s="364">
        <f t="shared" si="200"/>
        <v>336000</v>
      </c>
      <c r="AQ341" s="364">
        <f t="shared" si="200"/>
        <v>168000</v>
      </c>
    </row>
    <row r="342" spans="1:43" ht="14.25" x14ac:dyDescent="0.15">
      <c r="A342" s="343"/>
      <c r="B342" s="105" t="s">
        <v>939</v>
      </c>
      <c r="C342" s="309">
        <f t="shared" si="215"/>
        <v>1176000</v>
      </c>
      <c r="D342" s="309">
        <f t="shared" si="215"/>
        <v>646800</v>
      </c>
      <c r="E342" s="309">
        <f t="shared" si="215"/>
        <v>646800</v>
      </c>
      <c r="F342" s="309">
        <f t="shared" si="215"/>
        <v>646800</v>
      </c>
      <c r="G342" s="309">
        <f t="shared" si="215"/>
        <v>646800</v>
      </c>
      <c r="H342" s="317">
        <f t="shared" si="195"/>
        <v>739200</v>
      </c>
      <c r="I342" s="317">
        <f t="shared" si="195"/>
        <v>887040</v>
      </c>
      <c r="J342" s="42" t="s">
        <v>1183</v>
      </c>
      <c r="K342" s="309"/>
      <c r="L342" s="309">
        <f t="shared" si="196"/>
        <v>756000</v>
      </c>
      <c r="M342" s="316">
        <f t="shared" si="197"/>
        <v>907200</v>
      </c>
      <c r="N342" s="316">
        <f t="shared" ref="N342:P342" si="222">+N30*0.7</f>
        <v>1088640</v>
      </c>
      <c r="O342" s="316">
        <f t="shared" si="222"/>
        <v>1088640</v>
      </c>
      <c r="P342" s="316">
        <f t="shared" si="222"/>
        <v>1270080</v>
      </c>
      <c r="Q342" s="316">
        <f t="shared" si="197"/>
        <v>90720</v>
      </c>
      <c r="R342" s="107"/>
      <c r="S342" s="77">
        <v>25000</v>
      </c>
      <c r="T342" s="110">
        <v>60000</v>
      </c>
      <c r="U342" s="110"/>
      <c r="V342" s="110">
        <v>3000</v>
      </c>
      <c r="W342" s="320"/>
      <c r="X342" s="110">
        <v>2000</v>
      </c>
      <c r="Y342" s="113">
        <v>2000</v>
      </c>
      <c r="Z342" s="363">
        <f t="shared" ref="Z342:AL342" si="223">+Z30*0.7</f>
        <v>117599.99999999999</v>
      </c>
      <c r="AA342" s="364">
        <f t="shared" si="223"/>
        <v>470399.99999999994</v>
      </c>
      <c r="AB342" s="364">
        <f t="shared" si="223"/>
        <v>235199.99999999997</v>
      </c>
      <c r="AC342" s="364">
        <f t="shared" si="223"/>
        <v>470399.99999999994</v>
      </c>
      <c r="AD342" s="364">
        <f t="shared" si="223"/>
        <v>235199.99999999997</v>
      </c>
      <c r="AE342" s="364">
        <f t="shared" si="223"/>
        <v>470399.99999999994</v>
      </c>
      <c r="AF342" s="364">
        <f t="shared" si="223"/>
        <v>470399.99999999994</v>
      </c>
      <c r="AG342" s="365">
        <f t="shared" si="223"/>
        <v>470399.99999999994</v>
      </c>
      <c r="AH342" s="75">
        <v>180000</v>
      </c>
      <c r="AI342" s="75">
        <v>360000</v>
      </c>
      <c r="AJ342" s="76">
        <v>60000</v>
      </c>
      <c r="AK342" s="366">
        <f t="shared" si="223"/>
        <v>235199.99999999997</v>
      </c>
      <c r="AL342" s="364">
        <f t="shared" si="223"/>
        <v>235199.99999999997</v>
      </c>
      <c r="AM342" s="75">
        <v>150000</v>
      </c>
      <c r="AN342" s="75">
        <v>60000</v>
      </c>
      <c r="AO342" s="364">
        <f t="shared" si="200"/>
        <v>705600</v>
      </c>
      <c r="AP342" s="364">
        <f t="shared" si="200"/>
        <v>470399.99999999994</v>
      </c>
      <c r="AQ342" s="364">
        <f t="shared" si="200"/>
        <v>235199.99999999997</v>
      </c>
    </row>
    <row r="343" spans="1:43" ht="14.25" x14ac:dyDescent="0.15">
      <c r="A343" s="343"/>
      <c r="B343" s="105" t="s">
        <v>940</v>
      </c>
      <c r="C343" s="309">
        <f t="shared" si="215"/>
        <v>1176000</v>
      </c>
      <c r="D343" s="309">
        <f t="shared" si="215"/>
        <v>646800</v>
      </c>
      <c r="E343" s="309">
        <f t="shared" si="215"/>
        <v>646800</v>
      </c>
      <c r="F343" s="309">
        <f t="shared" si="215"/>
        <v>646800</v>
      </c>
      <c r="G343" s="309">
        <f t="shared" si="215"/>
        <v>646800</v>
      </c>
      <c r="H343" s="317">
        <f t="shared" si="195"/>
        <v>739200</v>
      </c>
      <c r="I343" s="317">
        <f t="shared" si="195"/>
        <v>887040</v>
      </c>
      <c r="J343" s="42" t="s">
        <v>1183</v>
      </c>
      <c r="K343" s="309"/>
      <c r="L343" s="309">
        <f t="shared" si="196"/>
        <v>756000</v>
      </c>
      <c r="M343" s="316">
        <f t="shared" si="197"/>
        <v>907200</v>
      </c>
      <c r="N343" s="316">
        <f t="shared" ref="N343:P343" si="224">+N31*0.7</f>
        <v>1088640</v>
      </c>
      <c r="O343" s="316">
        <f t="shared" si="224"/>
        <v>1088640</v>
      </c>
      <c r="P343" s="316">
        <f t="shared" si="224"/>
        <v>1270080</v>
      </c>
      <c r="Q343" s="316">
        <f t="shared" si="197"/>
        <v>90720</v>
      </c>
      <c r="R343" s="107"/>
      <c r="S343" s="77">
        <v>25000</v>
      </c>
      <c r="T343" s="110">
        <v>60000</v>
      </c>
      <c r="U343" s="110"/>
      <c r="V343" s="110">
        <v>3000</v>
      </c>
      <c r="W343" s="320"/>
      <c r="X343" s="110">
        <v>2000</v>
      </c>
      <c r="Y343" s="113">
        <v>2000</v>
      </c>
      <c r="Z343" s="363">
        <f t="shared" ref="Z343:AL343" si="225">+Z31*0.7</f>
        <v>117599.99999999999</v>
      </c>
      <c r="AA343" s="364">
        <f t="shared" si="225"/>
        <v>470399.99999999994</v>
      </c>
      <c r="AB343" s="364">
        <f t="shared" si="225"/>
        <v>235199.99999999997</v>
      </c>
      <c r="AC343" s="364">
        <f t="shared" si="225"/>
        <v>470399.99999999994</v>
      </c>
      <c r="AD343" s="364">
        <f t="shared" si="225"/>
        <v>235199.99999999997</v>
      </c>
      <c r="AE343" s="364">
        <f t="shared" si="225"/>
        <v>470399.99999999994</v>
      </c>
      <c r="AF343" s="364">
        <f t="shared" si="225"/>
        <v>470399.99999999994</v>
      </c>
      <c r="AG343" s="365">
        <f t="shared" si="225"/>
        <v>470399.99999999994</v>
      </c>
      <c r="AH343" s="75">
        <v>180000</v>
      </c>
      <c r="AI343" s="75">
        <v>360000</v>
      </c>
      <c r="AJ343" s="76">
        <v>60000</v>
      </c>
      <c r="AK343" s="366">
        <f t="shared" si="225"/>
        <v>235199.99999999997</v>
      </c>
      <c r="AL343" s="364">
        <f t="shared" si="225"/>
        <v>235199.99999999997</v>
      </c>
      <c r="AM343" s="75">
        <v>150000</v>
      </c>
      <c r="AN343" s="75">
        <v>60000</v>
      </c>
      <c r="AO343" s="364">
        <f t="shared" si="200"/>
        <v>705600</v>
      </c>
      <c r="AP343" s="364">
        <f t="shared" si="200"/>
        <v>470399.99999999994</v>
      </c>
      <c r="AQ343" s="364">
        <f t="shared" si="200"/>
        <v>235199.99999999997</v>
      </c>
    </row>
    <row r="344" spans="1:43" ht="14.25" x14ac:dyDescent="0.15">
      <c r="A344" s="343"/>
      <c r="B344" s="105" t="s">
        <v>80</v>
      </c>
      <c r="C344" s="309">
        <f t="shared" ref="C344:I344" si="226">+C32*0.7</f>
        <v>1512000</v>
      </c>
      <c r="D344" s="309">
        <f t="shared" si="226"/>
        <v>798000</v>
      </c>
      <c r="E344" s="309">
        <f t="shared" si="226"/>
        <v>798000</v>
      </c>
      <c r="F344" s="309">
        <f t="shared" si="226"/>
        <v>798000</v>
      </c>
      <c r="G344" s="309">
        <f t="shared" si="226"/>
        <v>798000</v>
      </c>
      <c r="H344" s="317">
        <f t="shared" ref="H344" si="227">+H32*0.7</f>
        <v>1016399.9999999999</v>
      </c>
      <c r="I344" s="317">
        <f t="shared" si="226"/>
        <v>1219680</v>
      </c>
      <c r="J344" s="42" t="s">
        <v>1183</v>
      </c>
      <c r="K344" s="309"/>
      <c r="L344" s="309">
        <f t="shared" ref="L344:Q344" si="228">+L32*0.7</f>
        <v>1092000</v>
      </c>
      <c r="M344" s="316">
        <f t="shared" ref="M344:P344" si="229">+M32*0.7</f>
        <v>1310400</v>
      </c>
      <c r="N344" s="316">
        <f t="shared" si="229"/>
        <v>1572480</v>
      </c>
      <c r="O344" s="316">
        <f t="shared" si="229"/>
        <v>1572480</v>
      </c>
      <c r="P344" s="316">
        <f t="shared" si="229"/>
        <v>1834560</v>
      </c>
      <c r="Q344" s="316">
        <f t="shared" si="228"/>
        <v>131039.99999999999</v>
      </c>
      <c r="R344" s="107"/>
      <c r="S344" s="77">
        <v>25000</v>
      </c>
      <c r="T344" s="110">
        <v>60000</v>
      </c>
      <c r="U344" s="110"/>
      <c r="V344" s="110">
        <v>3000</v>
      </c>
      <c r="W344" s="320"/>
      <c r="X344" s="110">
        <v>2000</v>
      </c>
      <c r="Y344" s="113">
        <v>2000</v>
      </c>
      <c r="Z344" s="363">
        <f t="shared" ref="Z344:Z345" si="230">+Z32*0.7</f>
        <v>151200</v>
      </c>
      <c r="AA344" s="364">
        <f t="shared" ref="AA344:AQ345" si="231">+AA32*0.7</f>
        <v>604800</v>
      </c>
      <c r="AB344" s="364">
        <f t="shared" si="231"/>
        <v>302400</v>
      </c>
      <c r="AC344" s="364">
        <f t="shared" si="231"/>
        <v>604800</v>
      </c>
      <c r="AD344" s="364">
        <f t="shared" si="231"/>
        <v>302400</v>
      </c>
      <c r="AE344" s="364">
        <f t="shared" si="231"/>
        <v>604800</v>
      </c>
      <c r="AF344" s="364">
        <f t="shared" si="231"/>
        <v>604800</v>
      </c>
      <c r="AG344" s="365">
        <f t="shared" si="231"/>
        <v>604800</v>
      </c>
      <c r="AH344" s="78">
        <v>180000</v>
      </c>
      <c r="AI344" s="78">
        <v>360000</v>
      </c>
      <c r="AJ344" s="79">
        <v>60000</v>
      </c>
      <c r="AK344" s="366">
        <f t="shared" si="231"/>
        <v>302400</v>
      </c>
      <c r="AL344" s="364">
        <f t="shared" si="231"/>
        <v>302400</v>
      </c>
      <c r="AM344" s="75">
        <v>150000</v>
      </c>
      <c r="AN344" s="75">
        <v>60000</v>
      </c>
      <c r="AO344" s="364">
        <f t="shared" si="231"/>
        <v>907200</v>
      </c>
      <c r="AP344" s="364">
        <f t="shared" si="231"/>
        <v>604800</v>
      </c>
      <c r="AQ344" s="364">
        <f t="shared" si="231"/>
        <v>302400</v>
      </c>
    </row>
    <row r="345" spans="1:43" ht="14.25" x14ac:dyDescent="0.15">
      <c r="A345" s="676"/>
      <c r="B345" s="105" t="s">
        <v>81</v>
      </c>
      <c r="C345" s="309">
        <f t="shared" ref="C345:I345" si="232">+C33*0.7</f>
        <v>2015999.9999999998</v>
      </c>
      <c r="D345" s="309">
        <f t="shared" si="232"/>
        <v>965999.99999999988</v>
      </c>
      <c r="E345" s="309">
        <f t="shared" si="232"/>
        <v>965999.99999999988</v>
      </c>
      <c r="F345" s="309">
        <f t="shared" si="232"/>
        <v>965999.99999999988</v>
      </c>
      <c r="G345" s="309">
        <f t="shared" si="232"/>
        <v>965999.99999999988</v>
      </c>
      <c r="H345" s="317">
        <f t="shared" ref="H345" si="233">+H33*0.7</f>
        <v>1247400</v>
      </c>
      <c r="I345" s="317">
        <f t="shared" si="232"/>
        <v>1496880</v>
      </c>
      <c r="J345" s="42" t="s">
        <v>1183</v>
      </c>
      <c r="K345" s="309"/>
      <c r="L345" s="309">
        <f t="shared" ref="L345:Q345" si="234">+L33*0.7</f>
        <v>1260000</v>
      </c>
      <c r="M345" s="316">
        <f t="shared" ref="M345:P345" si="235">+M33*0.7</f>
        <v>1512000</v>
      </c>
      <c r="N345" s="316">
        <f t="shared" si="235"/>
        <v>1814400</v>
      </c>
      <c r="O345" s="316">
        <f t="shared" si="235"/>
        <v>1814400</v>
      </c>
      <c r="P345" s="316">
        <f t="shared" si="235"/>
        <v>2116800</v>
      </c>
      <c r="Q345" s="316">
        <f t="shared" si="234"/>
        <v>151200</v>
      </c>
      <c r="R345" s="107"/>
      <c r="S345" s="77">
        <v>25000</v>
      </c>
      <c r="T345" s="110">
        <v>60000</v>
      </c>
      <c r="U345" s="110"/>
      <c r="V345" s="110">
        <v>3000</v>
      </c>
      <c r="W345" s="320"/>
      <c r="X345" s="110">
        <v>2000</v>
      </c>
      <c r="Y345" s="113">
        <v>2000</v>
      </c>
      <c r="Z345" s="363">
        <f t="shared" si="230"/>
        <v>201600</v>
      </c>
      <c r="AA345" s="364">
        <f t="shared" si="231"/>
        <v>806400</v>
      </c>
      <c r="AB345" s="364">
        <f t="shared" si="231"/>
        <v>403200</v>
      </c>
      <c r="AC345" s="364">
        <f t="shared" si="231"/>
        <v>806400</v>
      </c>
      <c r="AD345" s="364">
        <f t="shared" si="231"/>
        <v>403200</v>
      </c>
      <c r="AE345" s="364">
        <f t="shared" si="231"/>
        <v>806400</v>
      </c>
      <c r="AF345" s="364">
        <f t="shared" si="231"/>
        <v>806400</v>
      </c>
      <c r="AG345" s="365">
        <f t="shared" si="231"/>
        <v>806400</v>
      </c>
      <c r="AH345" s="75">
        <v>180000</v>
      </c>
      <c r="AI345" s="75">
        <v>360000</v>
      </c>
      <c r="AJ345" s="76">
        <v>60000</v>
      </c>
      <c r="AK345" s="366">
        <f t="shared" si="231"/>
        <v>403200</v>
      </c>
      <c r="AL345" s="364">
        <f t="shared" si="231"/>
        <v>403200</v>
      </c>
      <c r="AM345" s="75">
        <v>150000</v>
      </c>
      <c r="AN345" s="75">
        <v>60000</v>
      </c>
      <c r="AO345" s="364">
        <f t="shared" si="231"/>
        <v>1209600</v>
      </c>
      <c r="AP345" s="364">
        <f t="shared" si="231"/>
        <v>806400</v>
      </c>
      <c r="AQ345" s="364">
        <f t="shared" si="231"/>
        <v>403200</v>
      </c>
    </row>
    <row r="346" spans="1:43" ht="14.25" x14ac:dyDescent="0.15">
      <c r="A346" s="379"/>
      <c r="B346" s="37"/>
      <c r="C346" s="324"/>
      <c r="D346" s="324"/>
      <c r="E346" s="324"/>
      <c r="F346" s="324"/>
      <c r="G346" s="324"/>
      <c r="H346" s="380"/>
      <c r="I346" s="380"/>
      <c r="J346" s="324"/>
      <c r="K346" s="324"/>
      <c r="L346" s="324"/>
      <c r="M346" s="324"/>
      <c r="N346" s="324"/>
      <c r="O346" s="324"/>
      <c r="P346" s="324"/>
      <c r="Q346" s="324"/>
      <c r="R346" s="40"/>
      <c r="S346" s="114"/>
      <c r="T346" s="114"/>
      <c r="U346" s="114"/>
      <c r="V346" s="114"/>
      <c r="W346" s="324"/>
      <c r="X346" s="114"/>
      <c r="Y346" s="114"/>
      <c r="Z346" s="326"/>
      <c r="AA346" s="381"/>
      <c r="AB346" s="381"/>
      <c r="AC346" s="381"/>
      <c r="AD346" s="381"/>
      <c r="AE346" s="381"/>
      <c r="AF346" s="381"/>
      <c r="AG346" s="381"/>
      <c r="AH346" s="326"/>
      <c r="AI346" s="326"/>
      <c r="AJ346" s="326"/>
      <c r="AK346" s="381"/>
      <c r="AL346" s="381"/>
      <c r="AM346" s="326"/>
      <c r="AN346" s="326"/>
      <c r="AO346" s="381"/>
      <c r="AP346" s="381"/>
      <c r="AQ346" s="381"/>
    </row>
    <row r="347" spans="1:43" ht="14.25" hidden="1" x14ac:dyDescent="0.15">
      <c r="A347" s="379"/>
      <c r="B347" s="37"/>
      <c r="C347" s="324"/>
      <c r="D347" s="324"/>
      <c r="E347" s="324"/>
      <c r="F347" s="324"/>
      <c r="G347" s="324"/>
      <c r="H347" s="380"/>
      <c r="I347" s="380"/>
      <c r="J347" s="324"/>
      <c r="K347" s="324"/>
      <c r="L347" s="324"/>
      <c r="M347" s="324"/>
      <c r="N347" s="324"/>
      <c r="O347" s="324"/>
      <c r="P347" s="324"/>
      <c r="Q347" s="324"/>
      <c r="R347" s="40"/>
      <c r="S347" s="114"/>
      <c r="T347" s="114"/>
      <c r="U347" s="114"/>
      <c r="V347" s="114"/>
      <c r="W347" s="324"/>
      <c r="X347" s="114"/>
      <c r="Y347" s="114"/>
      <c r="Z347" s="326"/>
      <c r="AA347" s="381"/>
      <c r="AB347" s="381"/>
      <c r="AC347" s="381"/>
      <c r="AD347" s="381"/>
      <c r="AE347" s="381"/>
      <c r="AF347" s="381"/>
      <c r="AG347" s="381"/>
      <c r="AH347" s="326"/>
      <c r="AI347" s="326"/>
      <c r="AJ347" s="326"/>
      <c r="AK347" s="381"/>
      <c r="AL347" s="381"/>
      <c r="AM347" s="326"/>
      <c r="AN347" s="326"/>
      <c r="AO347" s="381"/>
      <c r="AP347" s="381"/>
      <c r="AQ347" s="381"/>
    </row>
    <row r="348" spans="1:43" ht="14.25" hidden="1" x14ac:dyDescent="0.15">
      <c r="A348" s="379"/>
      <c r="B348" s="37"/>
      <c r="C348" s="324"/>
      <c r="D348" s="324"/>
      <c r="E348" s="324"/>
      <c r="F348" s="324"/>
      <c r="G348" s="324"/>
      <c r="H348" s="380"/>
      <c r="I348" s="380"/>
      <c r="J348" s="324"/>
      <c r="K348" s="324"/>
      <c r="L348" s="324"/>
      <c r="M348" s="324"/>
      <c r="N348" s="324"/>
      <c r="O348" s="324"/>
      <c r="P348" s="324"/>
      <c r="Q348" s="324"/>
      <c r="R348" s="40"/>
      <c r="S348" s="114"/>
      <c r="T348" s="114"/>
      <c r="U348" s="114"/>
      <c r="V348" s="114"/>
      <c r="W348" s="324"/>
      <c r="X348" s="114"/>
      <c r="Y348" s="114"/>
      <c r="Z348" s="326"/>
      <c r="AA348" s="381"/>
      <c r="AB348" s="381"/>
      <c r="AC348" s="381"/>
      <c r="AD348" s="381"/>
      <c r="AE348" s="381"/>
      <c r="AF348" s="381"/>
      <c r="AG348" s="381"/>
      <c r="AH348" s="326"/>
      <c r="AI348" s="326"/>
      <c r="AJ348" s="326"/>
      <c r="AK348" s="381"/>
      <c r="AL348" s="381"/>
      <c r="AM348" s="326"/>
      <c r="AN348" s="326"/>
      <c r="AO348" s="381"/>
      <c r="AP348" s="381"/>
      <c r="AQ348" s="381"/>
    </row>
    <row r="349" spans="1:43" ht="14.25" hidden="1" x14ac:dyDescent="0.15">
      <c r="A349" s="379"/>
      <c r="B349" s="37"/>
      <c r="C349" s="324"/>
      <c r="D349" s="324"/>
      <c r="E349" s="324"/>
      <c r="F349" s="324"/>
      <c r="G349" s="324"/>
      <c r="H349" s="380"/>
      <c r="I349" s="380"/>
      <c r="J349" s="324"/>
      <c r="K349" s="324"/>
      <c r="L349" s="324"/>
      <c r="M349" s="324"/>
      <c r="N349" s="324"/>
      <c r="O349" s="324"/>
      <c r="P349" s="324"/>
      <c r="Q349" s="324"/>
      <c r="R349" s="40"/>
      <c r="S349" s="114"/>
      <c r="T349" s="114"/>
      <c r="U349" s="114"/>
      <c r="V349" s="114"/>
      <c r="W349" s="324"/>
      <c r="X349" s="114"/>
      <c r="Y349" s="114"/>
      <c r="Z349" s="326"/>
      <c r="AA349" s="381"/>
      <c r="AB349" s="381"/>
      <c r="AC349" s="381"/>
      <c r="AD349" s="381"/>
      <c r="AE349" s="381"/>
      <c r="AF349" s="381"/>
      <c r="AG349" s="381"/>
      <c r="AH349" s="326"/>
      <c r="AI349" s="326"/>
      <c r="AJ349" s="326"/>
      <c r="AK349" s="381"/>
      <c r="AL349" s="381"/>
      <c r="AM349" s="326"/>
      <c r="AN349" s="326"/>
      <c r="AO349" s="381"/>
      <c r="AP349" s="381"/>
      <c r="AQ349" s="381"/>
    </row>
    <row r="350" spans="1:43" ht="14.25" hidden="1" x14ac:dyDescent="0.15">
      <c r="A350" s="379"/>
      <c r="B350" s="37"/>
      <c r="C350" s="324"/>
      <c r="D350" s="324"/>
      <c r="E350" s="324"/>
      <c r="F350" s="324"/>
      <c r="G350" s="324"/>
      <c r="H350" s="380"/>
      <c r="I350" s="380"/>
      <c r="J350" s="324"/>
      <c r="K350" s="324"/>
      <c r="L350" s="324"/>
      <c r="M350" s="324"/>
      <c r="N350" s="324"/>
      <c r="O350" s="324"/>
      <c r="P350" s="324"/>
      <c r="Q350" s="324"/>
      <c r="R350" s="40"/>
      <c r="S350" s="114"/>
      <c r="T350" s="114"/>
      <c r="U350" s="114"/>
      <c r="V350" s="114"/>
      <c r="W350" s="324"/>
      <c r="X350" s="114"/>
      <c r="Y350" s="114"/>
      <c r="Z350" s="326"/>
      <c r="AA350" s="381"/>
      <c r="AB350" s="381"/>
      <c r="AC350" s="381"/>
      <c r="AD350" s="381"/>
      <c r="AE350" s="381"/>
      <c r="AF350" s="381"/>
      <c r="AG350" s="381"/>
      <c r="AH350" s="326"/>
      <c r="AI350" s="326"/>
      <c r="AJ350" s="326"/>
      <c r="AK350" s="381"/>
      <c r="AL350" s="381"/>
      <c r="AM350" s="326"/>
      <c r="AN350" s="326"/>
      <c r="AO350" s="381"/>
      <c r="AP350" s="381"/>
      <c r="AQ350" s="381"/>
    </row>
    <row r="351" spans="1:43" ht="14.25" hidden="1" x14ac:dyDescent="0.15">
      <c r="A351" s="379"/>
      <c r="B351" s="37"/>
      <c r="C351" s="324"/>
      <c r="D351" s="324"/>
      <c r="E351" s="324"/>
      <c r="F351" s="324"/>
      <c r="G351" s="324"/>
      <c r="H351" s="380"/>
      <c r="I351" s="380"/>
      <c r="J351" s="324"/>
      <c r="K351" s="324"/>
      <c r="L351" s="324"/>
      <c r="M351" s="324"/>
      <c r="N351" s="324"/>
      <c r="O351" s="324"/>
      <c r="P351" s="324"/>
      <c r="Q351" s="324"/>
      <c r="R351" s="40"/>
      <c r="S351" s="114"/>
      <c r="T351" s="114"/>
      <c r="U351" s="114"/>
      <c r="V351" s="114"/>
      <c r="W351" s="324"/>
      <c r="X351" s="114"/>
      <c r="Y351" s="114"/>
      <c r="Z351" s="326"/>
      <c r="AA351" s="381"/>
      <c r="AB351" s="381"/>
      <c r="AC351" s="381"/>
      <c r="AD351" s="381"/>
      <c r="AE351" s="381"/>
      <c r="AF351" s="381"/>
      <c r="AG351" s="381"/>
      <c r="AH351" s="326"/>
      <c r="AI351" s="326"/>
      <c r="AJ351" s="326"/>
      <c r="AK351" s="381"/>
      <c r="AL351" s="381"/>
      <c r="AM351" s="326"/>
      <c r="AN351" s="326"/>
      <c r="AO351" s="381"/>
      <c r="AP351" s="381"/>
      <c r="AQ351" s="381"/>
    </row>
    <row r="352" spans="1:43" ht="14.25" hidden="1" x14ac:dyDescent="0.15">
      <c r="A352" s="379"/>
      <c r="B352" s="37"/>
      <c r="C352" s="324"/>
      <c r="D352" s="324"/>
      <c r="E352" s="324"/>
      <c r="F352" s="324"/>
      <c r="G352" s="324"/>
      <c r="H352" s="380"/>
      <c r="I352" s="380"/>
      <c r="J352" s="324"/>
      <c r="K352" s="324"/>
      <c r="L352" s="324"/>
      <c r="M352" s="324"/>
      <c r="N352" s="324"/>
      <c r="O352" s="324"/>
      <c r="P352" s="324"/>
      <c r="Q352" s="324"/>
      <c r="R352" s="40"/>
      <c r="S352" s="114"/>
      <c r="T352" s="114"/>
      <c r="U352" s="114"/>
      <c r="V352" s="114"/>
      <c r="W352" s="324"/>
      <c r="X352" s="114"/>
      <c r="Y352" s="114"/>
      <c r="Z352" s="326"/>
      <c r="AA352" s="381"/>
      <c r="AB352" s="381"/>
      <c r="AC352" s="381"/>
      <c r="AD352" s="381"/>
      <c r="AE352" s="381"/>
      <c r="AF352" s="381"/>
      <c r="AG352" s="381"/>
      <c r="AH352" s="326"/>
      <c r="AI352" s="326"/>
      <c r="AJ352" s="326"/>
      <c r="AK352" s="381"/>
      <c r="AL352" s="381"/>
      <c r="AM352" s="326"/>
      <c r="AN352" s="326"/>
      <c r="AO352" s="381"/>
      <c r="AP352" s="381"/>
      <c r="AQ352" s="381"/>
    </row>
    <row r="353" spans="1:43" ht="14.25" hidden="1" x14ac:dyDescent="0.15">
      <c r="A353" s="379"/>
      <c r="B353" s="37"/>
      <c r="C353" s="324"/>
      <c r="D353" s="324"/>
      <c r="E353" s="324"/>
      <c r="F353" s="324"/>
      <c r="G353" s="324"/>
      <c r="H353" s="380"/>
      <c r="I353" s="380"/>
      <c r="J353" s="324"/>
      <c r="K353" s="324"/>
      <c r="L353" s="324"/>
      <c r="M353" s="324"/>
      <c r="N353" s="324"/>
      <c r="O353" s="324"/>
      <c r="P353" s="324"/>
      <c r="Q353" s="324"/>
      <c r="R353" s="40"/>
      <c r="S353" s="114"/>
      <c r="T353" s="114"/>
      <c r="U353" s="114"/>
      <c r="V353" s="114"/>
      <c r="W353" s="324"/>
      <c r="X353" s="114"/>
      <c r="Y353" s="114"/>
      <c r="Z353" s="326"/>
      <c r="AA353" s="381"/>
      <c r="AB353" s="381"/>
      <c r="AC353" s="381"/>
      <c r="AD353" s="381"/>
      <c r="AE353" s="381"/>
      <c r="AF353" s="381"/>
      <c r="AG353" s="381"/>
      <c r="AH353" s="326"/>
      <c r="AI353" s="326"/>
      <c r="AJ353" s="326"/>
      <c r="AK353" s="381"/>
      <c r="AL353" s="381"/>
      <c r="AM353" s="326"/>
      <c r="AN353" s="326"/>
      <c r="AO353" s="381"/>
      <c r="AP353" s="381"/>
      <c r="AQ353" s="381"/>
    </row>
    <row r="354" spans="1:43" ht="14.25" hidden="1" x14ac:dyDescent="0.15">
      <c r="A354" s="379"/>
      <c r="B354" s="37"/>
      <c r="C354" s="324"/>
      <c r="D354" s="324"/>
      <c r="E354" s="324"/>
      <c r="F354" s="324"/>
      <c r="G354" s="324"/>
      <c r="H354" s="380"/>
      <c r="I354" s="380"/>
      <c r="J354" s="324"/>
      <c r="K354" s="324"/>
      <c r="L354" s="324"/>
      <c r="M354" s="324"/>
      <c r="N354" s="324"/>
      <c r="O354" s="324"/>
      <c r="P354" s="324"/>
      <c r="Q354" s="324"/>
      <c r="R354" s="40"/>
      <c r="S354" s="114"/>
      <c r="T354" s="114"/>
      <c r="U354" s="114"/>
      <c r="V354" s="114"/>
      <c r="W354" s="324"/>
      <c r="X354" s="114"/>
      <c r="Y354" s="114"/>
      <c r="Z354" s="326"/>
      <c r="AA354" s="381"/>
      <c r="AB354" s="381"/>
      <c r="AC354" s="381"/>
      <c r="AD354" s="381"/>
      <c r="AE354" s="381"/>
      <c r="AF354" s="381"/>
      <c r="AG354" s="381"/>
      <c r="AH354" s="326"/>
      <c r="AI354" s="326"/>
      <c r="AJ354" s="326"/>
      <c r="AK354" s="381"/>
      <c r="AL354" s="381"/>
      <c r="AM354" s="326"/>
      <c r="AN354" s="326"/>
      <c r="AO354" s="381"/>
      <c r="AP354" s="381"/>
      <c r="AQ354" s="381"/>
    </row>
    <row r="355" spans="1:43" ht="14.25" hidden="1" x14ac:dyDescent="0.15">
      <c r="A355" s="379"/>
      <c r="B355" s="37"/>
      <c r="C355" s="324"/>
      <c r="D355" s="324"/>
      <c r="E355" s="324"/>
      <c r="F355" s="324"/>
      <c r="G355" s="324"/>
      <c r="H355" s="380"/>
      <c r="I355" s="380"/>
      <c r="J355" s="324"/>
      <c r="K355" s="324"/>
      <c r="L355" s="324"/>
      <c r="M355" s="324"/>
      <c r="N355" s="324"/>
      <c r="O355" s="324"/>
      <c r="P355" s="324"/>
      <c r="Q355" s="324"/>
      <c r="R355" s="40"/>
      <c r="S355" s="114"/>
      <c r="T355" s="114"/>
      <c r="U355" s="114"/>
      <c r="V355" s="114"/>
      <c r="W355" s="324"/>
      <c r="X355" s="114"/>
      <c r="Y355" s="114"/>
      <c r="Z355" s="326"/>
      <c r="AA355" s="381"/>
      <c r="AB355" s="381"/>
      <c r="AC355" s="381"/>
      <c r="AD355" s="381"/>
      <c r="AE355" s="381"/>
      <c r="AF355" s="381"/>
      <c r="AG355" s="381"/>
      <c r="AH355" s="326"/>
      <c r="AI355" s="326"/>
      <c r="AJ355" s="326"/>
      <c r="AK355" s="381"/>
      <c r="AL355" s="381"/>
      <c r="AM355" s="326"/>
      <c r="AN355" s="326"/>
      <c r="AO355" s="381"/>
      <c r="AP355" s="381"/>
      <c r="AQ355" s="381"/>
    </row>
    <row r="356" spans="1:43" ht="14.25" hidden="1" x14ac:dyDescent="0.15">
      <c r="A356" s="379"/>
      <c r="B356" s="37"/>
      <c r="C356" s="324"/>
      <c r="D356" s="324"/>
      <c r="E356" s="324"/>
      <c r="F356" s="324"/>
      <c r="G356" s="324"/>
      <c r="H356" s="380"/>
      <c r="I356" s="380"/>
      <c r="J356" s="324"/>
      <c r="K356" s="324"/>
      <c r="L356" s="324"/>
      <c r="M356" s="324"/>
      <c r="N356" s="324"/>
      <c r="O356" s="324"/>
      <c r="P356" s="324"/>
      <c r="Q356" s="324"/>
      <c r="R356" s="40"/>
      <c r="S356" s="114"/>
      <c r="T356" s="114"/>
      <c r="U356" s="114"/>
      <c r="V356" s="114"/>
      <c r="W356" s="324"/>
      <c r="X356" s="114"/>
      <c r="Y356" s="114"/>
      <c r="Z356" s="326"/>
      <c r="AA356" s="381"/>
      <c r="AB356" s="381"/>
      <c r="AC356" s="381"/>
      <c r="AD356" s="381"/>
      <c r="AE356" s="381"/>
      <c r="AF356" s="381"/>
      <c r="AG356" s="381"/>
      <c r="AH356" s="326"/>
      <c r="AI356" s="326"/>
      <c r="AJ356" s="326"/>
      <c r="AK356" s="381"/>
      <c r="AL356" s="381"/>
      <c r="AM356" s="326"/>
      <c r="AN356" s="326"/>
      <c r="AO356" s="381"/>
      <c r="AP356" s="381"/>
      <c r="AQ356" s="381"/>
    </row>
    <row r="357" spans="1:43" ht="14.25" hidden="1" x14ac:dyDescent="0.15">
      <c r="A357" s="379"/>
      <c r="B357" s="37"/>
      <c r="C357" s="324"/>
      <c r="D357" s="324"/>
      <c r="E357" s="324"/>
      <c r="F357" s="324"/>
      <c r="G357" s="324"/>
      <c r="H357" s="380"/>
      <c r="I357" s="380"/>
      <c r="J357" s="324"/>
      <c r="K357" s="324"/>
      <c r="L357" s="324"/>
      <c r="M357" s="324"/>
      <c r="N357" s="324"/>
      <c r="O357" s="324"/>
      <c r="P357" s="324"/>
      <c r="Q357" s="324"/>
      <c r="R357" s="40"/>
      <c r="S357" s="114"/>
      <c r="T357" s="114"/>
      <c r="U357" s="114"/>
      <c r="V357" s="114"/>
      <c r="W357" s="324"/>
      <c r="X357" s="114"/>
      <c r="Y357" s="114"/>
      <c r="Z357" s="326"/>
      <c r="AA357" s="381"/>
      <c r="AB357" s="381"/>
      <c r="AC357" s="381"/>
      <c r="AD357" s="381"/>
      <c r="AE357" s="381"/>
      <c r="AF357" s="381"/>
      <c r="AG357" s="381"/>
      <c r="AH357" s="326"/>
      <c r="AI357" s="326"/>
      <c r="AJ357" s="326"/>
      <c r="AK357" s="381"/>
      <c r="AL357" s="381"/>
      <c r="AM357" s="326"/>
      <c r="AN357" s="326"/>
      <c r="AO357" s="381"/>
      <c r="AP357" s="381"/>
      <c r="AQ357" s="381"/>
    </row>
    <row r="358" spans="1:43" ht="14.25" hidden="1" x14ac:dyDescent="0.15">
      <c r="A358" s="379"/>
      <c r="B358" s="37"/>
      <c r="C358" s="324"/>
      <c r="D358" s="324"/>
      <c r="E358" s="324"/>
      <c r="F358" s="324"/>
      <c r="G358" s="324"/>
      <c r="H358" s="380"/>
      <c r="I358" s="380"/>
      <c r="J358" s="324"/>
      <c r="K358" s="324"/>
      <c r="L358" s="324"/>
      <c r="M358" s="324"/>
      <c r="N358" s="324"/>
      <c r="O358" s="324"/>
      <c r="P358" s="324"/>
      <c r="Q358" s="324"/>
      <c r="R358" s="40"/>
      <c r="S358" s="114"/>
      <c r="T358" s="114"/>
      <c r="U358" s="114"/>
      <c r="V358" s="114"/>
      <c r="W358" s="324"/>
      <c r="X358" s="114"/>
      <c r="Y358" s="114"/>
      <c r="Z358" s="326"/>
      <c r="AA358" s="381"/>
      <c r="AB358" s="381"/>
      <c r="AC358" s="381"/>
      <c r="AD358" s="381"/>
      <c r="AE358" s="381"/>
      <c r="AF358" s="381"/>
      <c r="AG358" s="381"/>
      <c r="AH358" s="326"/>
      <c r="AI358" s="326"/>
      <c r="AJ358" s="326"/>
      <c r="AK358" s="381"/>
      <c r="AL358" s="381"/>
      <c r="AM358" s="326"/>
      <c r="AN358" s="326"/>
      <c r="AO358" s="381"/>
      <c r="AP358" s="381"/>
      <c r="AQ358" s="381"/>
    </row>
    <row r="359" spans="1:43" ht="14.25" hidden="1" x14ac:dyDescent="0.15">
      <c r="A359" s="379"/>
      <c r="B359" s="37"/>
      <c r="C359" s="324"/>
      <c r="D359" s="324"/>
      <c r="E359" s="324"/>
      <c r="F359" s="324"/>
      <c r="G359" s="324"/>
      <c r="H359" s="380"/>
      <c r="I359" s="380"/>
      <c r="J359" s="324"/>
      <c r="K359" s="324"/>
      <c r="L359" s="324"/>
      <c r="M359" s="324"/>
      <c r="N359" s="324"/>
      <c r="O359" s="324"/>
      <c r="P359" s="324"/>
      <c r="Q359" s="324"/>
      <c r="R359" s="40"/>
      <c r="S359" s="114"/>
      <c r="T359" s="114"/>
      <c r="U359" s="114"/>
      <c r="V359" s="114"/>
      <c r="W359" s="324"/>
      <c r="X359" s="114"/>
      <c r="Y359" s="114"/>
      <c r="Z359" s="326"/>
      <c r="AA359" s="381"/>
      <c r="AB359" s="381"/>
      <c r="AC359" s="381"/>
      <c r="AD359" s="381"/>
      <c r="AE359" s="381"/>
      <c r="AF359" s="381"/>
      <c r="AG359" s="381"/>
      <c r="AH359" s="326"/>
      <c r="AI359" s="326"/>
      <c r="AJ359" s="326"/>
      <c r="AK359" s="381"/>
      <c r="AL359" s="381"/>
      <c r="AM359" s="326"/>
      <c r="AN359" s="326"/>
      <c r="AO359" s="381"/>
      <c r="AP359" s="381"/>
      <c r="AQ359" s="381"/>
    </row>
    <row r="360" spans="1:43" ht="14.25" hidden="1" x14ac:dyDescent="0.15">
      <c r="A360" s="379"/>
      <c r="B360" s="37"/>
      <c r="C360" s="324"/>
      <c r="D360" s="324"/>
      <c r="E360" s="324"/>
      <c r="F360" s="324"/>
      <c r="G360" s="324"/>
      <c r="H360" s="380"/>
      <c r="I360" s="380"/>
      <c r="J360" s="324"/>
      <c r="K360" s="324"/>
      <c r="L360" s="324"/>
      <c r="M360" s="324"/>
      <c r="N360" s="324"/>
      <c r="O360" s="324"/>
      <c r="P360" s="324"/>
      <c r="Q360" s="324"/>
      <c r="R360" s="40"/>
      <c r="S360" s="114"/>
      <c r="T360" s="114"/>
      <c r="U360" s="114"/>
      <c r="V360" s="114"/>
      <c r="W360" s="324"/>
      <c r="X360" s="114"/>
      <c r="Y360" s="114"/>
      <c r="Z360" s="326"/>
      <c r="AA360" s="381"/>
      <c r="AB360" s="381"/>
      <c r="AC360" s="381"/>
      <c r="AD360" s="381"/>
      <c r="AE360" s="381"/>
      <c r="AF360" s="381"/>
      <c r="AG360" s="381"/>
      <c r="AH360" s="326"/>
      <c r="AI360" s="326"/>
      <c r="AJ360" s="326"/>
      <c r="AK360" s="381"/>
      <c r="AL360" s="381"/>
      <c r="AM360" s="326"/>
      <c r="AN360" s="326"/>
      <c r="AO360" s="381"/>
      <c r="AP360" s="381"/>
      <c r="AQ360" s="381"/>
    </row>
    <row r="361" spans="1:43" ht="14.25" hidden="1" x14ac:dyDescent="0.15">
      <c r="A361" s="379"/>
      <c r="B361" s="37"/>
      <c r="C361" s="324"/>
      <c r="D361" s="324"/>
      <c r="E361" s="324"/>
      <c r="F361" s="324"/>
      <c r="G361" s="324"/>
      <c r="H361" s="380"/>
      <c r="I361" s="380"/>
      <c r="J361" s="324"/>
      <c r="K361" s="324"/>
      <c r="L361" s="324"/>
      <c r="M361" s="324"/>
      <c r="N361" s="324"/>
      <c r="O361" s="324"/>
      <c r="P361" s="324"/>
      <c r="Q361" s="324"/>
      <c r="R361" s="40"/>
      <c r="S361" s="114"/>
      <c r="T361" s="114"/>
      <c r="U361" s="114"/>
      <c r="V361" s="114"/>
      <c r="W361" s="324"/>
      <c r="X361" s="114"/>
      <c r="Y361" s="114"/>
      <c r="Z361" s="326"/>
      <c r="AA361" s="381"/>
      <c r="AB361" s="381"/>
      <c r="AC361" s="381"/>
      <c r="AD361" s="381"/>
      <c r="AE361" s="381"/>
      <c r="AF361" s="381"/>
      <c r="AG361" s="381"/>
      <c r="AH361" s="326"/>
      <c r="AI361" s="326"/>
      <c r="AJ361" s="326"/>
      <c r="AK361" s="381"/>
      <c r="AL361" s="381"/>
      <c r="AM361" s="326"/>
      <c r="AN361" s="326"/>
      <c r="AO361" s="381"/>
      <c r="AP361" s="381"/>
      <c r="AQ361" s="381"/>
    </row>
    <row r="362" spans="1:43" ht="14.25" hidden="1" x14ac:dyDescent="0.15">
      <c r="A362" s="379"/>
      <c r="B362" s="37"/>
      <c r="C362" s="324"/>
      <c r="D362" s="324"/>
      <c r="E362" s="324"/>
      <c r="F362" s="324"/>
      <c r="G362" s="324"/>
      <c r="H362" s="380"/>
      <c r="I362" s="380"/>
      <c r="J362" s="324"/>
      <c r="K362" s="324"/>
      <c r="L362" s="324"/>
      <c r="M362" s="324"/>
      <c r="N362" s="324"/>
      <c r="O362" s="324"/>
      <c r="P362" s="324"/>
      <c r="Q362" s="324"/>
      <c r="R362" s="40"/>
      <c r="S362" s="114"/>
      <c r="T362" s="114"/>
      <c r="U362" s="114"/>
      <c r="V362" s="114"/>
      <c r="W362" s="324"/>
      <c r="X362" s="114"/>
      <c r="Y362" s="114"/>
      <c r="Z362" s="326"/>
      <c r="AA362" s="381"/>
      <c r="AB362" s="381"/>
      <c r="AC362" s="381"/>
      <c r="AD362" s="381"/>
      <c r="AE362" s="381"/>
      <c r="AF362" s="381"/>
      <c r="AG362" s="381"/>
      <c r="AH362" s="326"/>
      <c r="AI362" s="326"/>
      <c r="AJ362" s="326"/>
      <c r="AK362" s="381"/>
      <c r="AL362" s="381"/>
      <c r="AM362" s="326"/>
      <c r="AN362" s="326"/>
      <c r="AO362" s="381"/>
      <c r="AP362" s="381"/>
      <c r="AQ362" s="381"/>
    </row>
    <row r="363" spans="1:43" ht="14.25" hidden="1" x14ac:dyDescent="0.15">
      <c r="A363" s="379"/>
      <c r="B363" s="37"/>
      <c r="C363" s="324"/>
      <c r="D363" s="324"/>
      <c r="E363" s="324"/>
      <c r="F363" s="324"/>
      <c r="G363" s="324"/>
      <c r="H363" s="380"/>
      <c r="I363" s="380"/>
      <c r="J363" s="324"/>
      <c r="K363" s="324"/>
      <c r="L363" s="324"/>
      <c r="M363" s="324"/>
      <c r="N363" s="324"/>
      <c r="O363" s="324"/>
      <c r="P363" s="324"/>
      <c r="Q363" s="324"/>
      <c r="R363" s="40"/>
      <c r="S363" s="114"/>
      <c r="T363" s="114"/>
      <c r="U363" s="114"/>
      <c r="V363" s="114"/>
      <c r="W363" s="324"/>
      <c r="X363" s="114"/>
      <c r="Y363" s="114"/>
      <c r="Z363" s="326"/>
      <c r="AA363" s="381"/>
      <c r="AB363" s="381"/>
      <c r="AC363" s="381"/>
      <c r="AD363" s="381"/>
      <c r="AE363" s="381"/>
      <c r="AF363" s="381"/>
      <c r="AG363" s="381"/>
      <c r="AH363" s="326"/>
      <c r="AI363" s="326"/>
      <c r="AJ363" s="326"/>
      <c r="AK363" s="381"/>
      <c r="AL363" s="381"/>
      <c r="AM363" s="326"/>
      <c r="AN363" s="326"/>
      <c r="AO363" s="381"/>
      <c r="AP363" s="381"/>
      <c r="AQ363" s="381"/>
    </row>
    <row r="364" spans="1:43" ht="14.25" hidden="1" x14ac:dyDescent="0.15">
      <c r="A364" s="379"/>
      <c r="B364" s="37"/>
      <c r="C364" s="324"/>
      <c r="D364" s="324"/>
      <c r="E364" s="324"/>
      <c r="F364" s="324"/>
      <c r="G364" s="324"/>
      <c r="H364" s="380"/>
      <c r="I364" s="380"/>
      <c r="J364" s="324"/>
      <c r="K364" s="324"/>
      <c r="L364" s="324"/>
      <c r="M364" s="324"/>
      <c r="N364" s="324"/>
      <c r="O364" s="324"/>
      <c r="P364" s="324"/>
      <c r="Q364" s="324"/>
      <c r="R364" s="40"/>
      <c r="S364" s="114"/>
      <c r="T364" s="114"/>
      <c r="U364" s="114"/>
      <c r="V364" s="114"/>
      <c r="W364" s="324"/>
      <c r="X364" s="114"/>
      <c r="Y364" s="114"/>
      <c r="Z364" s="326"/>
      <c r="AA364" s="381"/>
      <c r="AB364" s="381"/>
      <c r="AC364" s="381"/>
      <c r="AD364" s="381"/>
      <c r="AE364" s="381"/>
      <c r="AF364" s="381"/>
      <c r="AG364" s="381"/>
      <c r="AH364" s="326"/>
      <c r="AI364" s="326"/>
      <c r="AJ364" s="326"/>
      <c r="AK364" s="381"/>
      <c r="AL364" s="381"/>
      <c r="AM364" s="326"/>
      <c r="AN364" s="326"/>
      <c r="AO364" s="381"/>
      <c r="AP364" s="381"/>
      <c r="AQ364" s="381"/>
    </row>
    <row r="365" spans="1:43" ht="14.25" hidden="1" x14ac:dyDescent="0.15">
      <c r="A365" s="379"/>
      <c r="B365" s="37"/>
      <c r="C365" s="324"/>
      <c r="D365" s="324"/>
      <c r="E365" s="324"/>
      <c r="F365" s="324"/>
      <c r="G365" s="324"/>
      <c r="H365" s="380"/>
      <c r="I365" s="380"/>
      <c r="J365" s="324"/>
      <c r="K365" s="324"/>
      <c r="L365" s="324"/>
      <c r="M365" s="324"/>
      <c r="N365" s="324"/>
      <c r="O365" s="324"/>
      <c r="P365" s="324"/>
      <c r="Q365" s="324"/>
      <c r="R365" s="40"/>
      <c r="S365" s="114"/>
      <c r="T365" s="114"/>
      <c r="U365" s="114"/>
      <c r="V365" s="114"/>
      <c r="W365" s="324"/>
      <c r="X365" s="114"/>
      <c r="Y365" s="114"/>
      <c r="Z365" s="326"/>
      <c r="AA365" s="381"/>
      <c r="AB365" s="381"/>
      <c r="AC365" s="381"/>
      <c r="AD365" s="381"/>
      <c r="AE365" s="381"/>
      <c r="AF365" s="381"/>
      <c r="AG365" s="381"/>
      <c r="AH365" s="326"/>
      <c r="AI365" s="326"/>
      <c r="AJ365" s="326"/>
      <c r="AK365" s="381"/>
      <c r="AL365" s="381"/>
      <c r="AM365" s="326"/>
      <c r="AN365" s="326"/>
      <c r="AO365" s="381"/>
      <c r="AP365" s="381"/>
      <c r="AQ365" s="381"/>
    </row>
    <row r="366" spans="1:43" ht="14.25" hidden="1" x14ac:dyDescent="0.15">
      <c r="A366" s="379"/>
      <c r="B366" s="37"/>
      <c r="C366" s="324"/>
      <c r="D366" s="324"/>
      <c r="E366" s="324"/>
      <c r="F366" s="324"/>
      <c r="G366" s="324"/>
      <c r="H366" s="380"/>
      <c r="I366" s="380"/>
      <c r="J366" s="324"/>
      <c r="K366" s="324"/>
      <c r="L366" s="324"/>
      <c r="M366" s="324"/>
      <c r="N366" s="324"/>
      <c r="O366" s="324"/>
      <c r="P366" s="324"/>
      <c r="Q366" s="324"/>
      <c r="R366" s="40"/>
      <c r="S366" s="114"/>
      <c r="T366" s="114"/>
      <c r="U366" s="114"/>
      <c r="V366" s="114"/>
      <c r="W366" s="324"/>
      <c r="X366" s="114"/>
      <c r="Y366" s="114"/>
      <c r="Z366" s="326"/>
      <c r="AA366" s="381"/>
      <c r="AB366" s="381"/>
      <c r="AC366" s="381"/>
      <c r="AD366" s="381"/>
      <c r="AE366" s="381"/>
      <c r="AF366" s="381"/>
      <c r="AG366" s="381"/>
      <c r="AH366" s="326"/>
      <c r="AI366" s="326"/>
      <c r="AJ366" s="326"/>
      <c r="AK366" s="381"/>
      <c r="AL366" s="381"/>
      <c r="AM366" s="326"/>
      <c r="AN366" s="326"/>
      <c r="AO366" s="381"/>
      <c r="AP366" s="381"/>
      <c r="AQ366" s="381"/>
    </row>
    <row r="367" spans="1:43" ht="14.25" hidden="1" x14ac:dyDescent="0.15">
      <c r="A367" s="379"/>
      <c r="B367" s="37"/>
      <c r="C367" s="324"/>
      <c r="D367" s="324"/>
      <c r="E367" s="324"/>
      <c r="F367" s="324"/>
      <c r="G367" s="324"/>
      <c r="H367" s="380"/>
      <c r="I367" s="380"/>
      <c r="J367" s="324"/>
      <c r="K367" s="324"/>
      <c r="L367" s="324"/>
      <c r="M367" s="324"/>
      <c r="N367" s="324"/>
      <c r="O367" s="324"/>
      <c r="P367" s="324"/>
      <c r="Q367" s="324"/>
      <c r="R367" s="40"/>
      <c r="S367" s="114"/>
      <c r="T367" s="114"/>
      <c r="U367" s="114"/>
      <c r="V367" s="114"/>
      <c r="W367" s="324"/>
      <c r="X367" s="114"/>
      <c r="Y367" s="114"/>
      <c r="Z367" s="326"/>
      <c r="AA367" s="381"/>
      <c r="AB367" s="381"/>
      <c r="AC367" s="381"/>
      <c r="AD367" s="381"/>
      <c r="AE367" s="381"/>
      <c r="AF367" s="381"/>
      <c r="AG367" s="381"/>
      <c r="AH367" s="326"/>
      <c r="AI367" s="326"/>
      <c r="AJ367" s="326"/>
      <c r="AK367" s="381"/>
      <c r="AL367" s="381"/>
      <c r="AM367" s="326"/>
      <c r="AN367" s="326"/>
      <c r="AO367" s="381"/>
      <c r="AP367" s="381"/>
      <c r="AQ367" s="381"/>
    </row>
    <row r="368" spans="1:43" ht="14.25" hidden="1" x14ac:dyDescent="0.15">
      <c r="A368" s="379"/>
      <c r="B368" s="37"/>
      <c r="C368" s="324"/>
      <c r="D368" s="324"/>
      <c r="E368" s="324"/>
      <c r="F368" s="324"/>
      <c r="G368" s="324"/>
      <c r="H368" s="380"/>
      <c r="I368" s="380"/>
      <c r="J368" s="324"/>
      <c r="K368" s="324"/>
      <c r="L368" s="324"/>
      <c r="M368" s="324"/>
      <c r="N368" s="324"/>
      <c r="O368" s="324"/>
      <c r="P368" s="324"/>
      <c r="Q368" s="324"/>
      <c r="R368" s="40"/>
      <c r="S368" s="114"/>
      <c r="T368" s="114"/>
      <c r="U368" s="114"/>
      <c r="V368" s="114"/>
      <c r="W368" s="324"/>
      <c r="X368" s="114"/>
      <c r="Y368" s="114"/>
      <c r="Z368" s="326"/>
      <c r="AA368" s="381"/>
      <c r="AB368" s="381"/>
      <c r="AC368" s="381"/>
      <c r="AD368" s="381"/>
      <c r="AE368" s="381"/>
      <c r="AF368" s="381"/>
      <c r="AG368" s="381"/>
      <c r="AH368" s="326"/>
      <c r="AI368" s="326"/>
      <c r="AJ368" s="326"/>
      <c r="AK368" s="381"/>
      <c r="AL368" s="381"/>
      <c r="AM368" s="326"/>
      <c r="AN368" s="326"/>
      <c r="AO368" s="381"/>
      <c r="AP368" s="381"/>
      <c r="AQ368" s="381"/>
    </row>
    <row r="369" spans="1:43" ht="14.25" hidden="1" x14ac:dyDescent="0.15">
      <c r="A369" s="379"/>
      <c r="B369" s="37"/>
      <c r="C369" s="324"/>
      <c r="D369" s="324"/>
      <c r="E369" s="324"/>
      <c r="F369" s="324"/>
      <c r="G369" s="324"/>
      <c r="H369" s="380"/>
      <c r="I369" s="380"/>
      <c r="J369" s="324"/>
      <c r="K369" s="324"/>
      <c r="L369" s="324"/>
      <c r="M369" s="324"/>
      <c r="N369" s="324"/>
      <c r="O369" s="324"/>
      <c r="P369" s="324"/>
      <c r="Q369" s="324"/>
      <c r="R369" s="40"/>
      <c r="S369" s="114"/>
      <c r="T369" s="114"/>
      <c r="U369" s="114"/>
      <c r="V369" s="114"/>
      <c r="W369" s="324"/>
      <c r="X369" s="114"/>
      <c r="Y369" s="114"/>
      <c r="Z369" s="326"/>
      <c r="AA369" s="381"/>
      <c r="AB369" s="381"/>
      <c r="AC369" s="381"/>
      <c r="AD369" s="381"/>
      <c r="AE369" s="381"/>
      <c r="AF369" s="381"/>
      <c r="AG369" s="381"/>
      <c r="AH369" s="326"/>
      <c r="AI369" s="326"/>
      <c r="AJ369" s="326"/>
      <c r="AK369" s="381"/>
      <c r="AL369" s="381"/>
      <c r="AM369" s="326"/>
      <c r="AN369" s="326"/>
      <c r="AO369" s="381"/>
      <c r="AP369" s="381"/>
      <c r="AQ369" s="381"/>
    </row>
    <row r="370" spans="1:43" ht="14.25" hidden="1" x14ac:dyDescent="0.15">
      <c r="A370" s="379"/>
      <c r="B370" s="37"/>
      <c r="C370" s="324"/>
      <c r="D370" s="324"/>
      <c r="E370" s="324"/>
      <c r="F370" s="324"/>
      <c r="G370" s="324"/>
      <c r="H370" s="380"/>
      <c r="I370" s="380"/>
      <c r="J370" s="324"/>
      <c r="K370" s="324"/>
      <c r="L370" s="324"/>
      <c r="M370" s="324"/>
      <c r="N370" s="324"/>
      <c r="O370" s="324"/>
      <c r="P370" s="324"/>
      <c r="Q370" s="324"/>
      <c r="R370" s="40"/>
      <c r="S370" s="114"/>
      <c r="T370" s="114"/>
      <c r="U370" s="114"/>
      <c r="V370" s="114"/>
      <c r="W370" s="324"/>
      <c r="X370" s="114"/>
      <c r="Y370" s="114"/>
      <c r="Z370" s="326"/>
      <c r="AA370" s="381"/>
      <c r="AB370" s="381"/>
      <c r="AC370" s="381"/>
      <c r="AD370" s="381"/>
      <c r="AE370" s="381"/>
      <c r="AF370" s="381"/>
      <c r="AG370" s="381"/>
      <c r="AH370" s="326"/>
      <c r="AI370" s="326"/>
      <c r="AJ370" s="326"/>
      <c r="AK370" s="381"/>
      <c r="AL370" s="381"/>
      <c r="AM370" s="326"/>
      <c r="AN370" s="326"/>
      <c r="AO370" s="381"/>
      <c r="AP370" s="381"/>
      <c r="AQ370" s="381"/>
    </row>
    <row r="371" spans="1:43" ht="14.25" hidden="1" x14ac:dyDescent="0.15">
      <c r="A371" s="379"/>
      <c r="B371" s="37"/>
      <c r="C371" s="324"/>
      <c r="D371" s="324"/>
      <c r="E371" s="324"/>
      <c r="F371" s="324"/>
      <c r="G371" s="324"/>
      <c r="H371" s="380"/>
      <c r="I371" s="380"/>
      <c r="J371" s="324"/>
      <c r="K371" s="324"/>
      <c r="L371" s="324"/>
      <c r="M371" s="324"/>
      <c r="N371" s="324"/>
      <c r="O371" s="324"/>
      <c r="P371" s="324"/>
      <c r="Q371" s="324"/>
      <c r="R371" s="40"/>
      <c r="S371" s="114"/>
      <c r="T371" s="114"/>
      <c r="U371" s="114"/>
      <c r="V371" s="114"/>
      <c r="W371" s="324"/>
      <c r="X371" s="114"/>
      <c r="Y371" s="114"/>
      <c r="Z371" s="326"/>
      <c r="AA371" s="381"/>
      <c r="AB371" s="381"/>
      <c r="AC371" s="381"/>
      <c r="AD371" s="381"/>
      <c r="AE371" s="381"/>
      <c r="AF371" s="381"/>
      <c r="AG371" s="381"/>
      <c r="AH371" s="326"/>
      <c r="AI371" s="326"/>
      <c r="AJ371" s="326"/>
      <c r="AK371" s="381"/>
      <c r="AL371" s="381"/>
      <c r="AM371" s="326"/>
      <c r="AN371" s="326"/>
      <c r="AO371" s="381"/>
      <c r="AP371" s="381"/>
      <c r="AQ371" s="381"/>
    </row>
    <row r="372" spans="1:43" ht="14.25" hidden="1" x14ac:dyDescent="0.15">
      <c r="A372" s="379"/>
      <c r="B372" s="37"/>
      <c r="C372" s="324"/>
      <c r="D372" s="324"/>
      <c r="E372" s="324"/>
      <c r="F372" s="324"/>
      <c r="G372" s="324"/>
      <c r="H372" s="380"/>
      <c r="I372" s="380"/>
      <c r="J372" s="324"/>
      <c r="K372" s="324"/>
      <c r="L372" s="324"/>
      <c r="M372" s="324"/>
      <c r="N372" s="324"/>
      <c r="O372" s="324"/>
      <c r="P372" s="324"/>
      <c r="Q372" s="324"/>
      <c r="R372" s="40"/>
      <c r="S372" s="114"/>
      <c r="T372" s="114"/>
      <c r="U372" s="114"/>
      <c r="V372" s="114"/>
      <c r="W372" s="324"/>
      <c r="X372" s="114"/>
      <c r="Y372" s="114"/>
      <c r="Z372" s="326"/>
      <c r="AA372" s="381"/>
      <c r="AB372" s="381"/>
      <c r="AC372" s="381"/>
      <c r="AD372" s="381"/>
      <c r="AE372" s="381"/>
      <c r="AF372" s="381"/>
      <c r="AG372" s="381"/>
      <c r="AH372" s="326"/>
      <c r="AI372" s="326"/>
      <c r="AJ372" s="326"/>
      <c r="AK372" s="381"/>
      <c r="AL372" s="381"/>
      <c r="AM372" s="326"/>
      <c r="AN372" s="326"/>
      <c r="AO372" s="381"/>
      <c r="AP372" s="381"/>
      <c r="AQ372" s="381"/>
    </row>
    <row r="373" spans="1:43" ht="14.25" hidden="1" x14ac:dyDescent="0.15">
      <c r="A373" s="379"/>
      <c r="B373" s="37"/>
      <c r="C373" s="324"/>
      <c r="D373" s="324"/>
      <c r="E373" s="324"/>
      <c r="F373" s="324"/>
      <c r="G373" s="324"/>
      <c r="H373" s="380"/>
      <c r="I373" s="380"/>
      <c r="J373" s="324"/>
      <c r="K373" s="324"/>
      <c r="L373" s="324"/>
      <c r="M373" s="324"/>
      <c r="N373" s="324"/>
      <c r="O373" s="324"/>
      <c r="P373" s="324"/>
      <c r="Q373" s="324"/>
      <c r="R373" s="40"/>
      <c r="S373" s="114"/>
      <c r="T373" s="114"/>
      <c r="U373" s="114"/>
      <c r="V373" s="114"/>
      <c r="W373" s="324"/>
      <c r="X373" s="114"/>
      <c r="Y373" s="114"/>
      <c r="Z373" s="326"/>
      <c r="AA373" s="381"/>
      <c r="AB373" s="381"/>
      <c r="AC373" s="381"/>
      <c r="AD373" s="381"/>
      <c r="AE373" s="381"/>
      <c r="AF373" s="381"/>
      <c r="AG373" s="381"/>
      <c r="AH373" s="326"/>
      <c r="AI373" s="326"/>
      <c r="AJ373" s="326"/>
      <c r="AK373" s="381"/>
      <c r="AL373" s="381"/>
      <c r="AM373" s="326"/>
      <c r="AN373" s="326"/>
      <c r="AO373" s="381"/>
      <c r="AP373" s="381"/>
      <c r="AQ373" s="381"/>
    </row>
    <row r="374" spans="1:43" ht="14.25" hidden="1" x14ac:dyDescent="0.15">
      <c r="A374" s="379"/>
      <c r="B374" s="37"/>
      <c r="C374" s="324"/>
      <c r="D374" s="324"/>
      <c r="E374" s="324"/>
      <c r="F374" s="324"/>
      <c r="G374" s="324"/>
      <c r="H374" s="380"/>
      <c r="I374" s="380"/>
      <c r="J374" s="324"/>
      <c r="K374" s="324"/>
      <c r="L374" s="324"/>
      <c r="M374" s="324"/>
      <c r="N374" s="324"/>
      <c r="O374" s="324"/>
      <c r="P374" s="324"/>
      <c r="Q374" s="324"/>
      <c r="R374" s="40"/>
      <c r="S374" s="114"/>
      <c r="T374" s="114"/>
      <c r="U374" s="114"/>
      <c r="V374" s="114"/>
      <c r="W374" s="324"/>
      <c r="X374" s="114"/>
      <c r="Y374" s="114"/>
      <c r="Z374" s="326"/>
      <c r="AA374" s="381"/>
      <c r="AB374" s="381"/>
      <c r="AC374" s="381"/>
      <c r="AD374" s="381"/>
      <c r="AE374" s="381"/>
      <c r="AF374" s="381"/>
      <c r="AG374" s="381"/>
      <c r="AH374" s="326"/>
      <c r="AI374" s="326"/>
      <c r="AJ374" s="326"/>
      <c r="AK374" s="381"/>
      <c r="AL374" s="381"/>
      <c r="AM374" s="326"/>
      <c r="AN374" s="326"/>
      <c r="AO374" s="381"/>
      <c r="AP374" s="381"/>
      <c r="AQ374" s="381"/>
    </row>
    <row r="375" spans="1:43" ht="14.25" hidden="1" x14ac:dyDescent="0.15">
      <c r="A375" s="379"/>
      <c r="B375" s="37"/>
      <c r="C375" s="324"/>
      <c r="D375" s="324"/>
      <c r="E375" s="324"/>
      <c r="F375" s="324"/>
      <c r="G375" s="324"/>
      <c r="H375" s="380"/>
      <c r="I375" s="380"/>
      <c r="J375" s="324"/>
      <c r="K375" s="324"/>
      <c r="L375" s="324"/>
      <c r="M375" s="324"/>
      <c r="N375" s="324"/>
      <c r="O375" s="324"/>
      <c r="P375" s="324"/>
      <c r="Q375" s="324"/>
      <c r="R375" s="40"/>
      <c r="S375" s="114"/>
      <c r="T375" s="114"/>
      <c r="U375" s="114"/>
      <c r="V375" s="114"/>
      <c r="W375" s="324"/>
      <c r="X375" s="114"/>
      <c r="Y375" s="114"/>
      <c r="Z375" s="326"/>
      <c r="AA375" s="381"/>
      <c r="AB375" s="381"/>
      <c r="AC375" s="381"/>
      <c r="AD375" s="381"/>
      <c r="AE375" s="381"/>
      <c r="AF375" s="381"/>
      <c r="AG375" s="381"/>
      <c r="AH375" s="326"/>
      <c r="AI375" s="326"/>
      <c r="AJ375" s="326"/>
      <c r="AK375" s="381"/>
      <c r="AL375" s="381"/>
      <c r="AM375" s="326"/>
      <c r="AN375" s="326"/>
      <c r="AO375" s="381"/>
      <c r="AP375" s="381"/>
      <c r="AQ375" s="381"/>
    </row>
    <row r="376" spans="1:43" ht="14.25" hidden="1" x14ac:dyDescent="0.15">
      <c r="A376" s="379"/>
      <c r="B376" s="37"/>
      <c r="C376" s="324"/>
      <c r="D376" s="324"/>
      <c r="E376" s="324"/>
      <c r="F376" s="324"/>
      <c r="G376" s="324"/>
      <c r="H376" s="380"/>
      <c r="I376" s="380"/>
      <c r="J376" s="324"/>
      <c r="K376" s="324"/>
      <c r="L376" s="324"/>
      <c r="M376" s="324"/>
      <c r="N376" s="324"/>
      <c r="O376" s="324"/>
      <c r="P376" s="324"/>
      <c r="Q376" s="324"/>
      <c r="R376" s="40"/>
      <c r="S376" s="114"/>
      <c r="T376" s="114"/>
      <c r="U376" s="114"/>
      <c r="V376" s="114"/>
      <c r="W376" s="324"/>
      <c r="X376" s="114"/>
      <c r="Y376" s="114"/>
      <c r="Z376" s="326"/>
      <c r="AA376" s="381"/>
      <c r="AB376" s="381"/>
      <c r="AC376" s="381"/>
      <c r="AD376" s="381"/>
      <c r="AE376" s="381"/>
      <c r="AF376" s="381"/>
      <c r="AG376" s="381"/>
      <c r="AH376" s="326"/>
      <c r="AI376" s="326"/>
      <c r="AJ376" s="326"/>
      <c r="AK376" s="381"/>
      <c r="AL376" s="381"/>
      <c r="AM376" s="326"/>
      <c r="AN376" s="326"/>
      <c r="AO376" s="381"/>
      <c r="AP376" s="381"/>
      <c r="AQ376" s="381"/>
    </row>
    <row r="377" spans="1:43" ht="14.25" hidden="1" x14ac:dyDescent="0.15">
      <c r="A377" s="379"/>
      <c r="B377" s="37"/>
      <c r="C377" s="324"/>
      <c r="D377" s="324"/>
      <c r="E377" s="324"/>
      <c r="F377" s="324"/>
      <c r="G377" s="324"/>
      <c r="H377" s="380"/>
      <c r="I377" s="380"/>
      <c r="J377" s="324"/>
      <c r="K377" s="324"/>
      <c r="L377" s="324"/>
      <c r="M377" s="324"/>
      <c r="N377" s="324"/>
      <c r="O377" s="324"/>
      <c r="P377" s="324"/>
      <c r="Q377" s="324"/>
      <c r="R377" s="40"/>
      <c r="S377" s="114"/>
      <c r="T377" s="114"/>
      <c r="U377" s="114"/>
      <c r="V377" s="114"/>
      <c r="W377" s="324"/>
      <c r="X377" s="114"/>
      <c r="Y377" s="114"/>
      <c r="Z377" s="326"/>
      <c r="AA377" s="381"/>
      <c r="AB377" s="381"/>
      <c r="AC377" s="381"/>
      <c r="AD377" s="381"/>
      <c r="AE377" s="381"/>
      <c r="AF377" s="381"/>
      <c r="AG377" s="381"/>
      <c r="AH377" s="326"/>
      <c r="AI377" s="326"/>
      <c r="AJ377" s="326"/>
      <c r="AK377" s="381"/>
      <c r="AL377" s="381"/>
      <c r="AM377" s="326"/>
      <c r="AN377" s="326"/>
      <c r="AO377" s="381"/>
      <c r="AP377" s="381"/>
      <c r="AQ377" s="381"/>
    </row>
    <row r="378" spans="1:43" ht="14.25" hidden="1" x14ac:dyDescent="0.15">
      <c r="A378" s="379"/>
      <c r="B378" s="37"/>
      <c r="C378" s="324"/>
      <c r="D378" s="324"/>
      <c r="E378" s="324"/>
      <c r="F378" s="324"/>
      <c r="G378" s="324"/>
      <c r="H378" s="380"/>
      <c r="I378" s="380"/>
      <c r="J378" s="324"/>
      <c r="K378" s="324"/>
      <c r="L378" s="324"/>
      <c r="M378" s="324"/>
      <c r="N378" s="324"/>
      <c r="O378" s="324"/>
      <c r="P378" s="324"/>
      <c r="Q378" s="324"/>
      <c r="R378" s="40"/>
      <c r="S378" s="114"/>
      <c r="T378" s="114"/>
      <c r="U378" s="114"/>
      <c r="V378" s="114"/>
      <c r="W378" s="324"/>
      <c r="X378" s="114"/>
      <c r="Y378" s="114"/>
      <c r="Z378" s="326"/>
      <c r="AA378" s="381"/>
      <c r="AB378" s="381"/>
      <c r="AC378" s="381"/>
      <c r="AD378" s="381"/>
      <c r="AE378" s="381"/>
      <c r="AF378" s="381"/>
      <c r="AG378" s="381"/>
      <c r="AH378" s="326"/>
      <c r="AI378" s="326"/>
      <c r="AJ378" s="326"/>
      <c r="AK378" s="381"/>
      <c r="AL378" s="381"/>
      <c r="AM378" s="326"/>
      <c r="AN378" s="326"/>
      <c r="AO378" s="381"/>
      <c r="AP378" s="381"/>
      <c r="AQ378" s="381"/>
    </row>
    <row r="379" spans="1:43" ht="14.25" hidden="1" x14ac:dyDescent="0.15">
      <c r="A379" s="379"/>
      <c r="B379" s="37"/>
      <c r="C379" s="324"/>
      <c r="D379" s="324"/>
      <c r="E379" s="324"/>
      <c r="F379" s="324"/>
      <c r="G379" s="324"/>
      <c r="H379" s="380"/>
      <c r="I379" s="380"/>
      <c r="J379" s="324"/>
      <c r="K379" s="324"/>
      <c r="L379" s="324"/>
      <c r="M379" s="324"/>
      <c r="N379" s="324"/>
      <c r="O379" s="324"/>
      <c r="P379" s="324"/>
      <c r="Q379" s="324"/>
      <c r="R379" s="40"/>
      <c r="S379" s="114"/>
      <c r="T379" s="114"/>
      <c r="U379" s="114"/>
      <c r="V379" s="114"/>
      <c r="W379" s="324"/>
      <c r="X379" s="114"/>
      <c r="Y379" s="114"/>
      <c r="Z379" s="326"/>
      <c r="AA379" s="381"/>
      <c r="AB379" s="381"/>
      <c r="AC379" s="381"/>
      <c r="AD379" s="381"/>
      <c r="AE379" s="381"/>
      <c r="AF379" s="381"/>
      <c r="AG379" s="381"/>
      <c r="AH379" s="326"/>
      <c r="AI379" s="326"/>
      <c r="AJ379" s="326"/>
      <c r="AK379" s="381"/>
      <c r="AL379" s="381"/>
      <c r="AM379" s="326"/>
      <c r="AN379" s="326"/>
      <c r="AO379" s="381"/>
      <c r="AP379" s="381"/>
      <c r="AQ379" s="381"/>
    </row>
    <row r="380" spans="1:43" ht="14.25" hidden="1" x14ac:dyDescent="0.15">
      <c r="A380" s="379"/>
      <c r="B380" s="37"/>
      <c r="C380" s="324"/>
      <c r="D380" s="324"/>
      <c r="E380" s="324"/>
      <c r="F380" s="324"/>
      <c r="G380" s="324"/>
      <c r="H380" s="380"/>
      <c r="I380" s="380"/>
      <c r="J380" s="324"/>
      <c r="K380" s="324"/>
      <c r="L380" s="324"/>
      <c r="M380" s="324"/>
      <c r="N380" s="324"/>
      <c r="O380" s="324"/>
      <c r="P380" s="324"/>
      <c r="Q380" s="324"/>
      <c r="R380" s="40"/>
      <c r="S380" s="114"/>
      <c r="T380" s="114"/>
      <c r="U380" s="114"/>
      <c r="V380" s="114"/>
      <c r="W380" s="324"/>
      <c r="X380" s="114"/>
      <c r="Y380" s="114"/>
      <c r="Z380" s="326"/>
      <c r="AA380" s="381"/>
      <c r="AB380" s="381"/>
      <c r="AC380" s="381"/>
      <c r="AD380" s="381"/>
      <c r="AE380" s="381"/>
      <c r="AF380" s="381"/>
      <c r="AG380" s="381"/>
      <c r="AH380" s="326"/>
      <c r="AI380" s="326"/>
      <c r="AJ380" s="326"/>
      <c r="AK380" s="381"/>
      <c r="AL380" s="381"/>
      <c r="AM380" s="326"/>
      <c r="AN380" s="326"/>
      <c r="AO380" s="381"/>
      <c r="AP380" s="381"/>
      <c r="AQ380" s="381"/>
    </row>
    <row r="381" spans="1:43" ht="14.25" hidden="1" x14ac:dyDescent="0.15">
      <c r="A381" s="379"/>
      <c r="B381" s="37"/>
      <c r="C381" s="324"/>
      <c r="D381" s="324"/>
      <c r="E381" s="324"/>
      <c r="F381" s="324"/>
      <c r="G381" s="324"/>
      <c r="H381" s="380"/>
      <c r="I381" s="380"/>
      <c r="J381" s="324"/>
      <c r="K381" s="324"/>
      <c r="L381" s="324"/>
      <c r="M381" s="324"/>
      <c r="N381" s="324"/>
      <c r="O381" s="324"/>
      <c r="P381" s="324"/>
      <c r="Q381" s="324"/>
      <c r="R381" s="40"/>
      <c r="S381" s="114"/>
      <c r="T381" s="114"/>
      <c r="U381" s="114"/>
      <c r="V381" s="114"/>
      <c r="W381" s="324"/>
      <c r="X381" s="114"/>
      <c r="Y381" s="114"/>
      <c r="Z381" s="326"/>
      <c r="AA381" s="381"/>
      <c r="AB381" s="381"/>
      <c r="AC381" s="381"/>
      <c r="AD381" s="381"/>
      <c r="AE381" s="381"/>
      <c r="AF381" s="381"/>
      <c r="AG381" s="381"/>
      <c r="AH381" s="326"/>
      <c r="AI381" s="326"/>
      <c r="AJ381" s="326"/>
      <c r="AK381" s="381"/>
      <c r="AL381" s="381"/>
      <c r="AM381" s="326"/>
      <c r="AN381" s="326"/>
      <c r="AO381" s="381"/>
      <c r="AP381" s="381"/>
      <c r="AQ381" s="381"/>
    </row>
    <row r="382" spans="1:43" ht="14.25" hidden="1" x14ac:dyDescent="0.15">
      <c r="A382" s="379"/>
      <c r="B382" s="37"/>
      <c r="C382" s="324"/>
      <c r="D382" s="324"/>
      <c r="E382" s="324"/>
      <c r="F382" s="324"/>
      <c r="G382" s="324"/>
      <c r="H382" s="380"/>
      <c r="I382" s="380"/>
      <c r="J382" s="324"/>
      <c r="K382" s="324"/>
      <c r="L382" s="324"/>
      <c r="M382" s="324"/>
      <c r="N382" s="324"/>
      <c r="O382" s="324"/>
      <c r="P382" s="324"/>
      <c r="Q382" s="324"/>
      <c r="R382" s="40"/>
      <c r="S382" s="114"/>
      <c r="T382" s="114"/>
      <c r="U382" s="114"/>
      <c r="V382" s="114"/>
      <c r="W382" s="324"/>
      <c r="X382" s="114"/>
      <c r="Y382" s="114"/>
      <c r="Z382" s="326"/>
      <c r="AA382" s="381"/>
      <c r="AB382" s="381"/>
      <c r="AC382" s="381"/>
      <c r="AD382" s="381"/>
      <c r="AE382" s="381"/>
      <c r="AF382" s="381"/>
      <c r="AG382" s="381"/>
      <c r="AH382" s="326"/>
      <c r="AI382" s="326"/>
      <c r="AJ382" s="326"/>
      <c r="AK382" s="381"/>
      <c r="AL382" s="381"/>
      <c r="AM382" s="326"/>
      <c r="AN382" s="326"/>
      <c r="AO382" s="381"/>
      <c r="AP382" s="381"/>
      <c r="AQ382" s="381"/>
    </row>
    <row r="383" spans="1:43" ht="14.25" hidden="1" x14ac:dyDescent="0.15">
      <c r="A383" s="379"/>
      <c r="B383" s="37"/>
      <c r="C383" s="324"/>
      <c r="D383" s="324"/>
      <c r="E383" s="324"/>
      <c r="F383" s="324"/>
      <c r="G383" s="324"/>
      <c r="H383" s="380"/>
      <c r="I383" s="380"/>
      <c r="J383" s="324"/>
      <c r="K383" s="324"/>
      <c r="L383" s="324"/>
      <c r="M383" s="324"/>
      <c r="N383" s="324"/>
      <c r="O383" s="324"/>
      <c r="P383" s="324"/>
      <c r="Q383" s="324"/>
      <c r="R383" s="40"/>
      <c r="S383" s="114"/>
      <c r="T383" s="114"/>
      <c r="U383" s="114"/>
      <c r="V383" s="114"/>
      <c r="W383" s="324"/>
      <c r="X383" s="114"/>
      <c r="Y383" s="114"/>
      <c r="Z383" s="326"/>
      <c r="AA383" s="381"/>
      <c r="AB383" s="381"/>
      <c r="AC383" s="381"/>
      <c r="AD383" s="381"/>
      <c r="AE383" s="381"/>
      <c r="AF383" s="381"/>
      <c r="AG383" s="381"/>
      <c r="AH383" s="326"/>
      <c r="AI383" s="326"/>
      <c r="AJ383" s="326"/>
      <c r="AK383" s="381"/>
      <c r="AL383" s="381"/>
      <c r="AM383" s="326"/>
      <c r="AN383" s="326"/>
      <c r="AO383" s="381"/>
      <c r="AP383" s="381"/>
      <c r="AQ383" s="381"/>
    </row>
    <row r="384" spans="1:43" ht="14.25" hidden="1" x14ac:dyDescent="0.15">
      <c r="A384" s="379"/>
      <c r="B384" s="37"/>
      <c r="C384" s="324"/>
      <c r="D384" s="324"/>
      <c r="E384" s="324"/>
      <c r="F384" s="324"/>
      <c r="G384" s="324"/>
      <c r="H384" s="380"/>
      <c r="I384" s="380"/>
      <c r="J384" s="324"/>
      <c r="K384" s="324"/>
      <c r="L384" s="324"/>
      <c r="M384" s="324"/>
      <c r="N384" s="324"/>
      <c r="O384" s="324"/>
      <c r="P384" s="324"/>
      <c r="Q384" s="324"/>
      <c r="R384" s="40"/>
      <c r="S384" s="114"/>
      <c r="T384" s="114"/>
      <c r="U384" s="114"/>
      <c r="V384" s="114"/>
      <c r="W384" s="324"/>
      <c r="X384" s="114"/>
      <c r="Y384" s="114"/>
      <c r="Z384" s="326"/>
      <c r="AA384" s="381"/>
      <c r="AB384" s="381"/>
      <c r="AC384" s="381"/>
      <c r="AD384" s="381"/>
      <c r="AE384" s="381"/>
      <c r="AF384" s="381"/>
      <c r="AG384" s="381"/>
      <c r="AH384" s="326"/>
      <c r="AI384" s="326"/>
      <c r="AJ384" s="326"/>
      <c r="AK384" s="381"/>
      <c r="AL384" s="381"/>
      <c r="AM384" s="326"/>
      <c r="AN384" s="326"/>
      <c r="AO384" s="381"/>
      <c r="AP384" s="381"/>
      <c r="AQ384" s="381"/>
    </row>
    <row r="385" spans="1:43" ht="14.25" hidden="1" x14ac:dyDescent="0.15">
      <c r="A385" s="379"/>
      <c r="B385" s="37"/>
      <c r="C385" s="324"/>
      <c r="D385" s="324"/>
      <c r="E385" s="324"/>
      <c r="F385" s="324"/>
      <c r="G385" s="324"/>
      <c r="H385" s="380"/>
      <c r="I385" s="380"/>
      <c r="J385" s="324"/>
      <c r="K385" s="324"/>
      <c r="L385" s="324"/>
      <c r="M385" s="324"/>
      <c r="N385" s="324"/>
      <c r="O385" s="324"/>
      <c r="P385" s="324"/>
      <c r="Q385" s="324"/>
      <c r="R385" s="40"/>
      <c r="S385" s="114"/>
      <c r="T385" s="114"/>
      <c r="U385" s="114"/>
      <c r="V385" s="114"/>
      <c r="W385" s="324"/>
      <c r="X385" s="114"/>
      <c r="Y385" s="114"/>
      <c r="Z385" s="326"/>
      <c r="AA385" s="381"/>
      <c r="AB385" s="381"/>
      <c r="AC385" s="381"/>
      <c r="AD385" s="381"/>
      <c r="AE385" s="381"/>
      <c r="AF385" s="381"/>
      <c r="AG385" s="381"/>
      <c r="AH385" s="326"/>
      <c r="AI385" s="326"/>
      <c r="AJ385" s="326"/>
      <c r="AK385" s="381"/>
      <c r="AL385" s="381"/>
      <c r="AM385" s="326"/>
      <c r="AN385" s="326"/>
      <c r="AO385" s="381"/>
      <c r="AP385" s="381"/>
      <c r="AQ385" s="381"/>
    </row>
    <row r="386" spans="1:43" ht="14.25" hidden="1" x14ac:dyDescent="0.15">
      <c r="A386" s="379"/>
      <c r="B386" s="37"/>
      <c r="C386" s="324"/>
      <c r="D386" s="324"/>
      <c r="E386" s="324"/>
      <c r="F386" s="324"/>
      <c r="G386" s="324"/>
      <c r="H386" s="380"/>
      <c r="I386" s="380"/>
      <c r="J386" s="324"/>
      <c r="K386" s="324"/>
      <c r="L386" s="324"/>
      <c r="M386" s="324"/>
      <c r="N386" s="324"/>
      <c r="O386" s="324"/>
      <c r="P386" s="324"/>
      <c r="Q386" s="324"/>
      <c r="R386" s="40"/>
      <c r="S386" s="114"/>
      <c r="T386" s="114"/>
      <c r="U386" s="114"/>
      <c r="V386" s="114"/>
      <c r="W386" s="324"/>
      <c r="X386" s="114"/>
      <c r="Y386" s="114"/>
      <c r="Z386" s="326"/>
      <c r="AA386" s="381"/>
      <c r="AB386" s="381"/>
      <c r="AC386" s="381"/>
      <c r="AD386" s="381"/>
      <c r="AE386" s="381"/>
      <c r="AF386" s="381"/>
      <c r="AG386" s="381"/>
      <c r="AH386" s="326"/>
      <c r="AI386" s="326"/>
      <c r="AJ386" s="326"/>
      <c r="AK386" s="381"/>
      <c r="AL386" s="381"/>
      <c r="AM386" s="326"/>
      <c r="AN386" s="326"/>
      <c r="AO386" s="381"/>
      <c r="AP386" s="381"/>
      <c r="AQ386" s="381"/>
    </row>
    <row r="387" spans="1:43" ht="14.25" hidden="1" x14ac:dyDescent="0.15">
      <c r="A387" s="379"/>
      <c r="B387" s="37"/>
      <c r="C387" s="324"/>
      <c r="D387" s="324"/>
      <c r="E387" s="324"/>
      <c r="F387" s="324"/>
      <c r="G387" s="324"/>
      <c r="H387" s="380"/>
      <c r="I387" s="380"/>
      <c r="J387" s="324"/>
      <c r="K387" s="324"/>
      <c r="L387" s="324"/>
      <c r="M387" s="324"/>
      <c r="N387" s="324"/>
      <c r="O387" s="324"/>
      <c r="P387" s="324"/>
      <c r="Q387" s="324"/>
      <c r="R387" s="40"/>
      <c r="S387" s="114"/>
      <c r="T387" s="114"/>
      <c r="U387" s="114"/>
      <c r="V387" s="114"/>
      <c r="W387" s="324"/>
      <c r="X387" s="114"/>
      <c r="Y387" s="114"/>
      <c r="Z387" s="326"/>
      <c r="AA387" s="381"/>
      <c r="AB387" s="381"/>
      <c r="AC387" s="381"/>
      <c r="AD387" s="381"/>
      <c r="AE387" s="381"/>
      <c r="AF387" s="381"/>
      <c r="AG387" s="381"/>
      <c r="AH387" s="326"/>
      <c r="AI387" s="326"/>
      <c r="AJ387" s="326"/>
      <c r="AK387" s="381"/>
      <c r="AL387" s="381"/>
      <c r="AM387" s="326"/>
      <c r="AN387" s="326"/>
      <c r="AO387" s="381"/>
      <c r="AP387" s="381"/>
      <c r="AQ387" s="381"/>
    </row>
    <row r="388" spans="1:43" ht="14.25" hidden="1" x14ac:dyDescent="0.15">
      <c r="A388" s="379"/>
      <c r="B388" s="37"/>
      <c r="C388" s="324"/>
      <c r="D388" s="324"/>
      <c r="E388" s="324"/>
      <c r="F388" s="324"/>
      <c r="G388" s="324"/>
      <c r="H388" s="380"/>
      <c r="I388" s="380"/>
      <c r="J388" s="324"/>
      <c r="K388" s="324"/>
      <c r="L388" s="324"/>
      <c r="M388" s="324"/>
      <c r="N388" s="324"/>
      <c r="O388" s="324"/>
      <c r="P388" s="324"/>
      <c r="Q388" s="324"/>
      <c r="R388" s="40"/>
      <c r="S388" s="114"/>
      <c r="T388" s="114"/>
      <c r="U388" s="114"/>
      <c r="V388" s="114"/>
      <c r="W388" s="324"/>
      <c r="X388" s="114"/>
      <c r="Y388" s="114"/>
      <c r="Z388" s="326"/>
      <c r="AA388" s="381"/>
      <c r="AB388" s="381"/>
      <c r="AC388" s="381"/>
      <c r="AD388" s="381"/>
      <c r="AE388" s="381"/>
      <c r="AF388" s="381"/>
      <c r="AG388" s="381"/>
      <c r="AH388" s="326"/>
      <c r="AI388" s="326"/>
      <c r="AJ388" s="326"/>
      <c r="AK388" s="381"/>
      <c r="AL388" s="381"/>
      <c r="AM388" s="326"/>
      <c r="AN388" s="326"/>
      <c r="AO388" s="381"/>
      <c r="AP388" s="381"/>
      <c r="AQ388" s="381"/>
    </row>
    <row r="389" spans="1:43" ht="14.25" hidden="1" x14ac:dyDescent="0.15">
      <c r="A389" s="379"/>
      <c r="B389" s="37"/>
      <c r="C389" s="324"/>
      <c r="D389" s="324"/>
      <c r="E389" s="324"/>
      <c r="F389" s="324"/>
      <c r="G389" s="324"/>
      <c r="H389" s="380"/>
      <c r="I389" s="380"/>
      <c r="J389" s="324"/>
      <c r="K389" s="324"/>
      <c r="L389" s="324"/>
      <c r="M389" s="324"/>
      <c r="N389" s="324"/>
      <c r="O389" s="324"/>
      <c r="P389" s="324"/>
      <c r="Q389" s="324"/>
      <c r="R389" s="40"/>
      <c r="S389" s="114"/>
      <c r="T389" s="114"/>
      <c r="U389" s="114"/>
      <c r="V389" s="114"/>
      <c r="W389" s="324"/>
      <c r="X389" s="114"/>
      <c r="Y389" s="114"/>
      <c r="Z389" s="326"/>
      <c r="AA389" s="381"/>
      <c r="AB389" s="381"/>
      <c r="AC389" s="381"/>
      <c r="AD389" s="381"/>
      <c r="AE389" s="381"/>
      <c r="AF389" s="381"/>
      <c r="AG389" s="381"/>
      <c r="AH389" s="326"/>
      <c r="AI389" s="326"/>
      <c r="AJ389" s="326"/>
      <c r="AK389" s="381"/>
      <c r="AL389" s="381"/>
      <c r="AM389" s="326"/>
      <c r="AN389" s="326"/>
      <c r="AO389" s="381"/>
      <c r="AP389" s="381"/>
      <c r="AQ389" s="381"/>
    </row>
    <row r="390" spans="1:43" ht="14.25" hidden="1" x14ac:dyDescent="0.15">
      <c r="A390" s="379"/>
      <c r="B390" s="37"/>
      <c r="C390" s="324"/>
      <c r="D390" s="324"/>
      <c r="E390" s="324"/>
      <c r="F390" s="324"/>
      <c r="G390" s="324"/>
      <c r="H390" s="380"/>
      <c r="I390" s="380"/>
      <c r="J390" s="324"/>
      <c r="K390" s="324"/>
      <c r="L390" s="324"/>
      <c r="M390" s="324"/>
      <c r="N390" s="324"/>
      <c r="O390" s="324"/>
      <c r="P390" s="324"/>
      <c r="Q390" s="324"/>
      <c r="R390" s="40"/>
      <c r="S390" s="114"/>
      <c r="T390" s="114"/>
      <c r="U390" s="114"/>
      <c r="V390" s="114"/>
      <c r="W390" s="324"/>
      <c r="X390" s="114"/>
      <c r="Y390" s="114"/>
      <c r="Z390" s="326"/>
      <c r="AA390" s="381"/>
      <c r="AB390" s="381"/>
      <c r="AC390" s="381"/>
      <c r="AD390" s="381"/>
      <c r="AE390" s="381"/>
      <c r="AF390" s="381"/>
      <c r="AG390" s="381"/>
      <c r="AH390" s="326"/>
      <c r="AI390" s="326"/>
      <c r="AJ390" s="326"/>
      <c r="AK390" s="381"/>
      <c r="AL390" s="381"/>
      <c r="AM390" s="326"/>
      <c r="AN390" s="326"/>
      <c r="AO390" s="381"/>
      <c r="AP390" s="381"/>
      <c r="AQ390" s="381"/>
    </row>
    <row r="391" spans="1:43" ht="14.25" hidden="1" x14ac:dyDescent="0.15">
      <c r="A391" s="379"/>
      <c r="B391" s="37"/>
      <c r="C391" s="324"/>
      <c r="D391" s="324"/>
      <c r="E391" s="324"/>
      <c r="F391" s="324"/>
      <c r="G391" s="324"/>
      <c r="H391" s="380"/>
      <c r="I391" s="380"/>
      <c r="J391" s="324"/>
      <c r="K391" s="324"/>
      <c r="L391" s="324"/>
      <c r="M391" s="324"/>
      <c r="N391" s="324"/>
      <c r="O391" s="324"/>
      <c r="P391" s="324"/>
      <c r="Q391" s="324"/>
      <c r="R391" s="40"/>
      <c r="S391" s="114"/>
      <c r="T391" s="114"/>
      <c r="U391" s="114"/>
      <c r="V391" s="114"/>
      <c r="W391" s="324"/>
      <c r="X391" s="114"/>
      <c r="Y391" s="114"/>
      <c r="Z391" s="326"/>
      <c r="AA391" s="381"/>
      <c r="AB391" s="381"/>
      <c r="AC391" s="381"/>
      <c r="AD391" s="381"/>
      <c r="AE391" s="381"/>
      <c r="AF391" s="381"/>
      <c r="AG391" s="381"/>
      <c r="AH391" s="326"/>
      <c r="AI391" s="326"/>
      <c r="AJ391" s="326"/>
      <c r="AK391" s="381"/>
      <c r="AL391" s="381"/>
      <c r="AM391" s="326"/>
      <c r="AN391" s="326"/>
      <c r="AO391" s="381"/>
      <c r="AP391" s="381"/>
      <c r="AQ391" s="381"/>
    </row>
    <row r="392" spans="1:43" ht="14.25" hidden="1" x14ac:dyDescent="0.15">
      <c r="A392" s="379"/>
      <c r="B392" s="37"/>
      <c r="C392" s="324"/>
      <c r="D392" s="324"/>
      <c r="E392" s="324"/>
      <c r="F392" s="324"/>
      <c r="G392" s="324"/>
      <c r="H392" s="380"/>
      <c r="I392" s="380"/>
      <c r="J392" s="324"/>
      <c r="K392" s="324"/>
      <c r="L392" s="324"/>
      <c r="M392" s="324"/>
      <c r="N392" s="324"/>
      <c r="O392" s="324"/>
      <c r="P392" s="324"/>
      <c r="Q392" s="324"/>
      <c r="R392" s="40"/>
      <c r="S392" s="114"/>
      <c r="T392" s="114"/>
      <c r="U392" s="114"/>
      <c r="V392" s="114"/>
      <c r="W392" s="324"/>
      <c r="X392" s="114"/>
      <c r="Y392" s="114"/>
      <c r="Z392" s="326"/>
      <c r="AA392" s="381"/>
      <c r="AB392" s="381"/>
      <c r="AC392" s="381"/>
      <c r="AD392" s="381"/>
      <c r="AE392" s="381"/>
      <c r="AF392" s="381"/>
      <c r="AG392" s="381"/>
      <c r="AH392" s="326"/>
      <c r="AI392" s="326"/>
      <c r="AJ392" s="326"/>
      <c r="AK392" s="381"/>
      <c r="AL392" s="381"/>
      <c r="AM392" s="326"/>
      <c r="AN392" s="326"/>
      <c r="AO392" s="381"/>
      <c r="AP392" s="381"/>
      <c r="AQ392" s="381"/>
    </row>
    <row r="393" spans="1:43" ht="14.25" hidden="1" x14ac:dyDescent="0.15">
      <c r="A393" s="379"/>
      <c r="B393" s="37"/>
      <c r="C393" s="324"/>
      <c r="D393" s="324"/>
      <c r="E393" s="324"/>
      <c r="F393" s="324"/>
      <c r="G393" s="324"/>
      <c r="H393" s="380"/>
      <c r="I393" s="380"/>
      <c r="J393" s="324"/>
      <c r="K393" s="324"/>
      <c r="L393" s="324"/>
      <c r="M393" s="324"/>
      <c r="N393" s="324"/>
      <c r="O393" s="324"/>
      <c r="P393" s="324"/>
      <c r="Q393" s="324"/>
      <c r="R393" s="40"/>
      <c r="S393" s="114"/>
      <c r="T393" s="114"/>
      <c r="U393" s="114"/>
      <c r="V393" s="114"/>
      <c r="W393" s="324"/>
      <c r="X393" s="114"/>
      <c r="Y393" s="114"/>
      <c r="Z393" s="326"/>
      <c r="AA393" s="381"/>
      <c r="AB393" s="381"/>
      <c r="AC393" s="381"/>
      <c r="AD393" s="381"/>
      <c r="AE393" s="381"/>
      <c r="AF393" s="381"/>
      <c r="AG393" s="381"/>
      <c r="AH393" s="326"/>
      <c r="AI393" s="326"/>
      <c r="AJ393" s="326"/>
      <c r="AK393" s="381"/>
      <c r="AL393" s="381"/>
      <c r="AM393" s="326"/>
      <c r="AN393" s="326"/>
      <c r="AO393" s="381"/>
      <c r="AP393" s="381"/>
      <c r="AQ393" s="381"/>
    </row>
    <row r="394" spans="1:43" ht="14.25" hidden="1" x14ac:dyDescent="0.15">
      <c r="A394" s="379"/>
      <c r="B394" s="37"/>
      <c r="C394" s="324"/>
      <c r="D394" s="324"/>
      <c r="E394" s="324"/>
      <c r="F394" s="324"/>
      <c r="G394" s="324"/>
      <c r="H394" s="380"/>
      <c r="I394" s="380"/>
      <c r="J394" s="324"/>
      <c r="K394" s="324"/>
      <c r="L394" s="324"/>
      <c r="M394" s="324"/>
      <c r="N394" s="324"/>
      <c r="O394" s="324"/>
      <c r="P394" s="324"/>
      <c r="Q394" s="324"/>
      <c r="R394" s="40"/>
      <c r="S394" s="114"/>
      <c r="T394" s="114"/>
      <c r="U394" s="114"/>
      <c r="V394" s="114"/>
      <c r="W394" s="324"/>
      <c r="X394" s="114"/>
      <c r="Y394" s="114"/>
      <c r="Z394" s="326"/>
      <c r="AA394" s="381"/>
      <c r="AB394" s="381"/>
      <c r="AC394" s="381"/>
      <c r="AD394" s="381"/>
      <c r="AE394" s="381"/>
      <c r="AF394" s="381"/>
      <c r="AG394" s="381"/>
      <c r="AH394" s="326"/>
      <c r="AI394" s="326"/>
      <c r="AJ394" s="326"/>
      <c r="AK394" s="381"/>
      <c r="AL394" s="381"/>
      <c r="AM394" s="326"/>
      <c r="AN394" s="326"/>
      <c r="AO394" s="381"/>
      <c r="AP394" s="381"/>
      <c r="AQ394" s="381"/>
    </row>
    <row r="395" spans="1:43" ht="14.25" hidden="1" x14ac:dyDescent="0.15">
      <c r="A395" s="379"/>
      <c r="B395" s="37"/>
      <c r="C395" s="324"/>
      <c r="D395" s="324"/>
      <c r="E395" s="324"/>
      <c r="F395" s="324"/>
      <c r="G395" s="324"/>
      <c r="H395" s="380"/>
      <c r="I395" s="380"/>
      <c r="J395" s="324"/>
      <c r="K395" s="324"/>
      <c r="L395" s="324"/>
      <c r="M395" s="324"/>
      <c r="N395" s="324"/>
      <c r="O395" s="324"/>
      <c r="P395" s="324"/>
      <c r="Q395" s="324"/>
      <c r="R395" s="40"/>
      <c r="S395" s="114"/>
      <c r="T395" s="114"/>
      <c r="U395" s="114"/>
      <c r="V395" s="114"/>
      <c r="W395" s="324"/>
      <c r="X395" s="114"/>
      <c r="Y395" s="114"/>
      <c r="Z395" s="326"/>
      <c r="AA395" s="381"/>
      <c r="AB395" s="381"/>
      <c r="AC395" s="381"/>
      <c r="AD395" s="381"/>
      <c r="AE395" s="381"/>
      <c r="AF395" s="381"/>
      <c r="AG395" s="381"/>
      <c r="AH395" s="326"/>
      <c r="AI395" s="326"/>
      <c r="AJ395" s="326"/>
      <c r="AK395" s="381"/>
      <c r="AL395" s="381"/>
      <c r="AM395" s="326"/>
      <c r="AN395" s="326"/>
      <c r="AO395" s="381"/>
      <c r="AP395" s="381"/>
      <c r="AQ395" s="381"/>
    </row>
    <row r="396" spans="1:43" ht="14.25" hidden="1" x14ac:dyDescent="0.15">
      <c r="A396" s="379"/>
      <c r="B396" s="37"/>
      <c r="C396" s="324"/>
      <c r="D396" s="324"/>
      <c r="E396" s="324"/>
      <c r="F396" s="324"/>
      <c r="G396" s="324"/>
      <c r="H396" s="380"/>
      <c r="I396" s="380"/>
      <c r="J396" s="324"/>
      <c r="K396" s="324"/>
      <c r="L396" s="324"/>
      <c r="M396" s="324"/>
      <c r="N396" s="324"/>
      <c r="O396" s="324"/>
      <c r="P396" s="324"/>
      <c r="Q396" s="324"/>
      <c r="R396" s="40"/>
      <c r="S396" s="114"/>
      <c r="T396" s="114"/>
      <c r="U396" s="114"/>
      <c r="V396" s="114"/>
      <c r="W396" s="324"/>
      <c r="X396" s="114"/>
      <c r="Y396" s="114"/>
      <c r="Z396" s="326"/>
      <c r="AA396" s="381"/>
      <c r="AB396" s="381"/>
      <c r="AC396" s="381"/>
      <c r="AD396" s="381"/>
      <c r="AE396" s="381"/>
      <c r="AF396" s="381"/>
      <c r="AG396" s="381"/>
      <c r="AH396" s="326"/>
      <c r="AI396" s="326"/>
      <c r="AJ396" s="326"/>
      <c r="AK396" s="381"/>
      <c r="AL396" s="381"/>
      <c r="AM396" s="326"/>
      <c r="AN396" s="326"/>
      <c r="AO396" s="381"/>
      <c r="AP396" s="381"/>
      <c r="AQ396" s="381"/>
    </row>
    <row r="397" spans="1:43" ht="14.25" hidden="1" x14ac:dyDescent="0.15">
      <c r="A397" s="379"/>
      <c r="B397" s="37"/>
      <c r="C397" s="324"/>
      <c r="D397" s="324"/>
      <c r="E397" s="324"/>
      <c r="F397" s="324"/>
      <c r="G397" s="324"/>
      <c r="H397" s="380"/>
      <c r="I397" s="380"/>
      <c r="J397" s="324"/>
      <c r="K397" s="324"/>
      <c r="L397" s="324"/>
      <c r="M397" s="324"/>
      <c r="N397" s="324"/>
      <c r="O397" s="324"/>
      <c r="P397" s="324"/>
      <c r="Q397" s="324"/>
      <c r="R397" s="40"/>
      <c r="S397" s="114"/>
      <c r="T397" s="114"/>
      <c r="U397" s="114"/>
      <c r="V397" s="114"/>
      <c r="W397" s="324"/>
      <c r="X397" s="114"/>
      <c r="Y397" s="114"/>
      <c r="Z397" s="326"/>
      <c r="AA397" s="381"/>
      <c r="AB397" s="381"/>
      <c r="AC397" s="381"/>
      <c r="AD397" s="381"/>
      <c r="AE397" s="381"/>
      <c r="AF397" s="381"/>
      <c r="AG397" s="381"/>
      <c r="AH397" s="326"/>
      <c r="AI397" s="326"/>
      <c r="AJ397" s="326"/>
      <c r="AK397" s="381"/>
      <c r="AL397" s="381"/>
      <c r="AM397" s="326"/>
      <c r="AN397" s="326"/>
      <c r="AO397" s="381"/>
      <c r="AP397" s="381"/>
      <c r="AQ397" s="381"/>
    </row>
    <row r="398" spans="1:43" ht="14.25" hidden="1" x14ac:dyDescent="0.15">
      <c r="A398" s="379"/>
      <c r="B398" s="37"/>
      <c r="C398" s="324"/>
      <c r="D398" s="324"/>
      <c r="E398" s="324"/>
      <c r="F398" s="324"/>
      <c r="G398" s="324"/>
      <c r="H398" s="380"/>
      <c r="I398" s="380"/>
      <c r="J398" s="324"/>
      <c r="K398" s="324"/>
      <c r="L398" s="324"/>
      <c r="M398" s="324"/>
      <c r="N398" s="324"/>
      <c r="O398" s="324"/>
      <c r="P398" s="324"/>
      <c r="Q398" s="324"/>
      <c r="R398" s="40"/>
      <c r="S398" s="114"/>
      <c r="T398" s="114"/>
      <c r="U398" s="114"/>
      <c r="V398" s="114"/>
      <c r="W398" s="324"/>
      <c r="X398" s="114"/>
      <c r="Y398" s="114"/>
      <c r="Z398" s="326"/>
      <c r="AA398" s="381"/>
      <c r="AB398" s="381"/>
      <c r="AC398" s="381"/>
      <c r="AD398" s="381"/>
      <c r="AE398" s="381"/>
      <c r="AF398" s="381"/>
      <c r="AG398" s="381"/>
      <c r="AH398" s="326"/>
      <c r="AI398" s="326"/>
      <c r="AJ398" s="326"/>
      <c r="AK398" s="381"/>
      <c r="AL398" s="381"/>
      <c r="AM398" s="326"/>
      <c r="AN398" s="326"/>
      <c r="AO398" s="381"/>
      <c r="AP398" s="381"/>
      <c r="AQ398" s="381"/>
    </row>
    <row r="399" spans="1:43" ht="14.25" hidden="1" x14ac:dyDescent="0.15">
      <c r="A399" s="379"/>
      <c r="B399" s="37"/>
      <c r="C399" s="324"/>
      <c r="D399" s="324"/>
      <c r="E399" s="324"/>
      <c r="F399" s="324"/>
      <c r="G399" s="324"/>
      <c r="H399" s="380"/>
      <c r="I399" s="380"/>
      <c r="J399" s="324"/>
      <c r="K399" s="324"/>
      <c r="L399" s="324"/>
      <c r="M399" s="324"/>
      <c r="N399" s="324"/>
      <c r="O399" s="324"/>
      <c r="P399" s="324"/>
      <c r="Q399" s="324"/>
      <c r="R399" s="40"/>
      <c r="S399" s="114"/>
      <c r="T399" s="114"/>
      <c r="U399" s="114"/>
      <c r="V399" s="114"/>
      <c r="W399" s="324"/>
      <c r="X399" s="114"/>
      <c r="Y399" s="114"/>
      <c r="Z399" s="326"/>
      <c r="AA399" s="381"/>
      <c r="AB399" s="381"/>
      <c r="AC399" s="381"/>
      <c r="AD399" s="381"/>
      <c r="AE399" s="381"/>
      <c r="AF399" s="381"/>
      <c r="AG399" s="381"/>
      <c r="AH399" s="326"/>
      <c r="AI399" s="326"/>
      <c r="AJ399" s="326"/>
      <c r="AK399" s="381"/>
      <c r="AL399" s="381"/>
      <c r="AM399" s="326"/>
      <c r="AN399" s="326"/>
      <c r="AO399" s="381"/>
      <c r="AP399" s="381"/>
      <c r="AQ399" s="381"/>
    </row>
    <row r="400" spans="1:43" ht="14.25" hidden="1" x14ac:dyDescent="0.15">
      <c r="A400" s="379"/>
      <c r="B400" s="37"/>
      <c r="C400" s="324"/>
      <c r="D400" s="324"/>
      <c r="E400" s="324"/>
      <c r="F400" s="324"/>
      <c r="G400" s="324"/>
      <c r="H400" s="380"/>
      <c r="I400" s="380"/>
      <c r="J400" s="324"/>
      <c r="K400" s="324"/>
      <c r="L400" s="324"/>
      <c r="M400" s="324"/>
      <c r="N400" s="324"/>
      <c r="O400" s="324"/>
      <c r="P400" s="324"/>
      <c r="Q400" s="324"/>
      <c r="R400" s="40"/>
      <c r="S400" s="114"/>
      <c r="T400" s="114"/>
      <c r="U400" s="114"/>
      <c r="V400" s="114"/>
      <c r="W400" s="324"/>
      <c r="X400" s="114"/>
      <c r="Y400" s="114"/>
      <c r="Z400" s="326"/>
      <c r="AA400" s="381"/>
      <c r="AB400" s="381"/>
      <c r="AC400" s="381"/>
      <c r="AD400" s="381"/>
      <c r="AE400" s="381"/>
      <c r="AF400" s="381"/>
      <c r="AG400" s="381"/>
      <c r="AH400" s="326"/>
      <c r="AI400" s="326"/>
      <c r="AJ400" s="326"/>
      <c r="AK400" s="381"/>
      <c r="AL400" s="381"/>
      <c r="AM400" s="326"/>
      <c r="AN400" s="326"/>
      <c r="AO400" s="381"/>
      <c r="AP400" s="381"/>
      <c r="AQ400" s="381"/>
    </row>
    <row r="401" spans="1:43" ht="14.25" hidden="1" x14ac:dyDescent="0.15">
      <c r="A401" s="379"/>
      <c r="B401" s="37"/>
      <c r="C401" s="324"/>
      <c r="D401" s="324"/>
      <c r="E401" s="324"/>
      <c r="F401" s="324"/>
      <c r="G401" s="324"/>
      <c r="H401" s="380"/>
      <c r="I401" s="380"/>
      <c r="J401" s="324"/>
      <c r="K401" s="324"/>
      <c r="L401" s="324"/>
      <c r="M401" s="324"/>
      <c r="N401" s="324"/>
      <c r="O401" s="324"/>
      <c r="P401" s="324"/>
      <c r="Q401" s="324"/>
      <c r="R401" s="40"/>
      <c r="S401" s="114"/>
      <c r="T401" s="114"/>
      <c r="U401" s="114"/>
      <c r="V401" s="114"/>
      <c r="W401" s="324"/>
      <c r="X401" s="114"/>
      <c r="Y401" s="114"/>
      <c r="Z401" s="326"/>
      <c r="AA401" s="381"/>
      <c r="AB401" s="381"/>
      <c r="AC401" s="381"/>
      <c r="AD401" s="381"/>
      <c r="AE401" s="381"/>
      <c r="AF401" s="381"/>
      <c r="AG401" s="381"/>
      <c r="AH401" s="326"/>
      <c r="AI401" s="326"/>
      <c r="AJ401" s="326"/>
      <c r="AK401" s="381"/>
      <c r="AL401" s="381"/>
      <c r="AM401" s="326"/>
      <c r="AN401" s="326"/>
      <c r="AO401" s="381"/>
      <c r="AP401" s="381"/>
      <c r="AQ401" s="381"/>
    </row>
    <row r="402" spans="1:43" ht="14.25" hidden="1" x14ac:dyDescent="0.15">
      <c r="A402" s="379"/>
      <c r="B402" s="37"/>
      <c r="C402" s="324"/>
      <c r="D402" s="324"/>
      <c r="E402" s="324"/>
      <c r="F402" s="324"/>
      <c r="G402" s="324"/>
      <c r="H402" s="380"/>
      <c r="I402" s="380"/>
      <c r="J402" s="324"/>
      <c r="K402" s="324"/>
      <c r="L402" s="324"/>
      <c r="M402" s="324"/>
      <c r="N402" s="324"/>
      <c r="O402" s="324"/>
      <c r="P402" s="324"/>
      <c r="Q402" s="324"/>
      <c r="R402" s="40"/>
      <c r="S402" s="114"/>
      <c r="T402" s="114"/>
      <c r="U402" s="114"/>
      <c r="V402" s="114"/>
      <c r="W402" s="324"/>
      <c r="X402" s="114"/>
      <c r="Y402" s="114"/>
      <c r="Z402" s="326"/>
      <c r="AA402" s="381"/>
      <c r="AB402" s="381"/>
      <c r="AC402" s="381"/>
      <c r="AD402" s="381"/>
      <c r="AE402" s="381"/>
      <c r="AF402" s="381"/>
      <c r="AG402" s="381"/>
      <c r="AH402" s="326"/>
      <c r="AI402" s="326"/>
      <c r="AJ402" s="326"/>
      <c r="AK402" s="381"/>
      <c r="AL402" s="381"/>
      <c r="AM402" s="326"/>
      <c r="AN402" s="326"/>
      <c r="AO402" s="381"/>
      <c r="AP402" s="381"/>
      <c r="AQ402" s="381"/>
    </row>
    <row r="403" spans="1:43" ht="14.25" hidden="1" x14ac:dyDescent="0.15">
      <c r="A403" s="379"/>
      <c r="B403" s="37"/>
      <c r="C403" s="324"/>
      <c r="D403" s="324"/>
      <c r="E403" s="324"/>
      <c r="F403" s="324"/>
      <c r="G403" s="324"/>
      <c r="H403" s="380"/>
      <c r="I403" s="380"/>
      <c r="J403" s="324"/>
      <c r="K403" s="324"/>
      <c r="L403" s="324"/>
      <c r="M403" s="324"/>
      <c r="N403" s="324"/>
      <c r="O403" s="324"/>
      <c r="P403" s="324"/>
      <c r="Q403" s="324"/>
      <c r="R403" s="40"/>
      <c r="S403" s="114"/>
      <c r="T403" s="114"/>
      <c r="U403" s="114"/>
      <c r="V403" s="114"/>
      <c r="W403" s="324"/>
      <c r="X403" s="114"/>
      <c r="Y403" s="114"/>
      <c r="Z403" s="326"/>
      <c r="AA403" s="381"/>
      <c r="AB403" s="381"/>
      <c r="AC403" s="381"/>
      <c r="AD403" s="381"/>
      <c r="AE403" s="381"/>
      <c r="AF403" s="381"/>
      <c r="AG403" s="381"/>
      <c r="AH403" s="326"/>
      <c r="AI403" s="326"/>
      <c r="AJ403" s="326"/>
      <c r="AK403" s="381"/>
      <c r="AL403" s="381"/>
      <c r="AM403" s="326"/>
      <c r="AN403" s="326"/>
      <c r="AO403" s="381"/>
      <c r="AP403" s="381"/>
      <c r="AQ403" s="381"/>
    </row>
    <row r="404" spans="1:43" ht="14.25" hidden="1" x14ac:dyDescent="0.15">
      <c r="A404" s="379"/>
      <c r="B404" s="37"/>
      <c r="C404" s="324"/>
      <c r="D404" s="324"/>
      <c r="E404" s="324"/>
      <c r="F404" s="324"/>
      <c r="G404" s="324"/>
      <c r="H404" s="380"/>
      <c r="I404" s="380"/>
      <c r="J404" s="324"/>
      <c r="K404" s="324"/>
      <c r="L404" s="324"/>
      <c r="M404" s="324"/>
      <c r="N404" s="324"/>
      <c r="O404" s="324"/>
      <c r="P404" s="324"/>
      <c r="Q404" s="324"/>
      <c r="R404" s="40"/>
      <c r="S404" s="114"/>
      <c r="T404" s="114"/>
      <c r="U404" s="114"/>
      <c r="V404" s="114"/>
      <c r="W404" s="324"/>
      <c r="X404" s="114"/>
      <c r="Y404" s="114"/>
      <c r="Z404" s="326"/>
      <c r="AA404" s="381"/>
      <c r="AB404" s="381"/>
      <c r="AC404" s="381"/>
      <c r="AD404" s="381"/>
      <c r="AE404" s="381"/>
      <c r="AF404" s="381"/>
      <c r="AG404" s="381"/>
      <c r="AH404" s="326"/>
      <c r="AI404" s="326"/>
      <c r="AJ404" s="326"/>
      <c r="AK404" s="381"/>
      <c r="AL404" s="381"/>
      <c r="AM404" s="326"/>
      <c r="AN404" s="326"/>
      <c r="AO404" s="381"/>
      <c r="AP404" s="381"/>
      <c r="AQ404" s="381"/>
    </row>
    <row r="405" spans="1:43" ht="14.25" hidden="1" x14ac:dyDescent="0.15">
      <c r="A405" s="379"/>
      <c r="B405" s="37"/>
      <c r="C405" s="324"/>
      <c r="D405" s="324"/>
      <c r="E405" s="324"/>
      <c r="F405" s="324"/>
      <c r="G405" s="324"/>
      <c r="H405" s="380"/>
      <c r="I405" s="380"/>
      <c r="J405" s="324"/>
      <c r="K405" s="324"/>
      <c r="L405" s="324"/>
      <c r="M405" s="324"/>
      <c r="N405" s="324"/>
      <c r="O405" s="324"/>
      <c r="P405" s="324"/>
      <c r="Q405" s="324"/>
      <c r="R405" s="40"/>
      <c r="S405" s="114"/>
      <c r="T405" s="114"/>
      <c r="U405" s="114"/>
      <c r="V405" s="114"/>
      <c r="W405" s="324"/>
      <c r="X405" s="114"/>
      <c r="Y405" s="114"/>
      <c r="Z405" s="326"/>
      <c r="AA405" s="381"/>
      <c r="AB405" s="381"/>
      <c r="AC405" s="381"/>
      <c r="AD405" s="381"/>
      <c r="AE405" s="381"/>
      <c r="AF405" s="381"/>
      <c r="AG405" s="381"/>
      <c r="AH405" s="326"/>
      <c r="AI405" s="326"/>
      <c r="AJ405" s="326"/>
      <c r="AK405" s="381"/>
      <c r="AL405" s="381"/>
      <c r="AM405" s="326"/>
      <c r="AN405" s="326"/>
      <c r="AO405" s="381"/>
      <c r="AP405" s="381"/>
      <c r="AQ405" s="381"/>
    </row>
    <row r="406" spans="1:43" ht="14.25" hidden="1" x14ac:dyDescent="0.15">
      <c r="A406" s="379"/>
      <c r="B406" s="37"/>
      <c r="C406" s="324"/>
      <c r="D406" s="324"/>
      <c r="E406" s="324"/>
      <c r="F406" s="324"/>
      <c r="G406" s="324"/>
      <c r="H406" s="380"/>
      <c r="I406" s="380"/>
      <c r="J406" s="324"/>
      <c r="K406" s="324"/>
      <c r="L406" s="324"/>
      <c r="M406" s="324"/>
      <c r="N406" s="324"/>
      <c r="O406" s="324"/>
      <c r="P406" s="324"/>
      <c r="Q406" s="324"/>
      <c r="R406" s="40"/>
      <c r="S406" s="114"/>
      <c r="T406" s="114"/>
      <c r="U406" s="114"/>
      <c r="V406" s="114"/>
      <c r="W406" s="324"/>
      <c r="X406" s="114"/>
      <c r="Y406" s="114"/>
      <c r="Z406" s="326"/>
      <c r="AA406" s="381"/>
      <c r="AB406" s="381"/>
      <c r="AC406" s="381"/>
      <c r="AD406" s="381"/>
      <c r="AE406" s="381"/>
      <c r="AF406" s="381"/>
      <c r="AG406" s="381"/>
      <c r="AH406" s="326"/>
      <c r="AI406" s="326"/>
      <c r="AJ406" s="326"/>
      <c r="AK406" s="381"/>
      <c r="AL406" s="381"/>
      <c r="AM406" s="326"/>
      <c r="AN406" s="326"/>
      <c r="AO406" s="381"/>
      <c r="AP406" s="381"/>
      <c r="AQ406" s="381"/>
    </row>
    <row r="407" spans="1:43" ht="14.25" hidden="1" x14ac:dyDescent="0.15">
      <c r="A407" s="379"/>
      <c r="B407" s="37"/>
      <c r="C407" s="324"/>
      <c r="D407" s="324"/>
      <c r="E407" s="324"/>
      <c r="F407" s="324"/>
      <c r="G407" s="324"/>
      <c r="H407" s="380"/>
      <c r="I407" s="380"/>
      <c r="J407" s="324"/>
      <c r="K407" s="324"/>
      <c r="L407" s="324"/>
      <c r="M407" s="324"/>
      <c r="N407" s="324"/>
      <c r="O407" s="324"/>
      <c r="P407" s="324"/>
      <c r="Q407" s="324"/>
      <c r="R407" s="40"/>
      <c r="S407" s="114"/>
      <c r="T407" s="114"/>
      <c r="U407" s="114"/>
      <c r="V407" s="114"/>
      <c r="W407" s="324"/>
      <c r="X407" s="114"/>
      <c r="Y407" s="114"/>
      <c r="Z407" s="326"/>
      <c r="AA407" s="381"/>
      <c r="AB407" s="381"/>
      <c r="AC407" s="381"/>
      <c r="AD407" s="381"/>
      <c r="AE407" s="381"/>
      <c r="AF407" s="381"/>
      <c r="AG407" s="381"/>
      <c r="AH407" s="326"/>
      <c r="AI407" s="326"/>
      <c r="AJ407" s="326"/>
      <c r="AK407" s="381"/>
      <c r="AL407" s="381"/>
      <c r="AM407" s="326"/>
      <c r="AN407" s="326"/>
      <c r="AO407" s="381"/>
      <c r="AP407" s="381"/>
      <c r="AQ407" s="381"/>
    </row>
    <row r="408" spans="1:43" ht="14.25" hidden="1" x14ac:dyDescent="0.15">
      <c r="A408" s="379"/>
      <c r="B408" s="37"/>
      <c r="C408" s="324"/>
      <c r="D408" s="324"/>
      <c r="E408" s="324"/>
      <c r="F408" s="324"/>
      <c r="G408" s="324"/>
      <c r="H408" s="380"/>
      <c r="I408" s="380"/>
      <c r="J408" s="324"/>
      <c r="K408" s="324"/>
      <c r="L408" s="324"/>
      <c r="M408" s="324"/>
      <c r="N408" s="324"/>
      <c r="O408" s="324"/>
      <c r="P408" s="324"/>
      <c r="Q408" s="324"/>
      <c r="R408" s="40"/>
      <c r="S408" s="114"/>
      <c r="T408" s="114"/>
      <c r="U408" s="114"/>
      <c r="V408" s="114"/>
      <c r="W408" s="324"/>
      <c r="X408" s="114"/>
      <c r="Y408" s="114"/>
      <c r="Z408" s="326"/>
      <c r="AA408" s="381"/>
      <c r="AB408" s="381"/>
      <c r="AC408" s="381"/>
      <c r="AD408" s="381"/>
      <c r="AE408" s="381"/>
      <c r="AF408" s="381"/>
      <c r="AG408" s="381"/>
      <c r="AH408" s="326"/>
      <c r="AI408" s="326"/>
      <c r="AJ408" s="326"/>
      <c r="AK408" s="381"/>
      <c r="AL408" s="381"/>
      <c r="AM408" s="326"/>
      <c r="AN408" s="326"/>
      <c r="AO408" s="381"/>
      <c r="AP408" s="381"/>
      <c r="AQ408" s="381"/>
    </row>
    <row r="409" spans="1:43" ht="14.25" hidden="1" x14ac:dyDescent="0.15">
      <c r="A409" s="379"/>
      <c r="B409" s="37"/>
      <c r="C409" s="324"/>
      <c r="D409" s="324"/>
      <c r="E409" s="324"/>
      <c r="F409" s="324"/>
      <c r="G409" s="324"/>
      <c r="H409" s="380"/>
      <c r="I409" s="380"/>
      <c r="J409" s="324"/>
      <c r="K409" s="324"/>
      <c r="L409" s="324"/>
      <c r="M409" s="324"/>
      <c r="N409" s="324"/>
      <c r="O409" s="324"/>
      <c r="P409" s="324"/>
      <c r="Q409" s="324"/>
      <c r="R409" s="40"/>
      <c r="S409" s="114"/>
      <c r="T409" s="114"/>
      <c r="U409" s="114"/>
      <c r="V409" s="114"/>
      <c r="W409" s="324"/>
      <c r="X409" s="114"/>
      <c r="Y409" s="114"/>
      <c r="Z409" s="326"/>
      <c r="AA409" s="381"/>
      <c r="AB409" s="381"/>
      <c r="AC409" s="381"/>
      <c r="AD409" s="381"/>
      <c r="AE409" s="381"/>
      <c r="AF409" s="381"/>
      <c r="AG409" s="381"/>
      <c r="AH409" s="326"/>
      <c r="AI409" s="326"/>
      <c r="AJ409" s="326"/>
      <c r="AK409" s="381"/>
      <c r="AL409" s="381"/>
      <c r="AM409" s="326"/>
      <c r="AN409" s="326"/>
      <c r="AO409" s="381"/>
      <c r="AP409" s="381"/>
      <c r="AQ409" s="381"/>
    </row>
    <row r="410" spans="1:43" ht="14.25" hidden="1" x14ac:dyDescent="0.15">
      <c r="A410" s="379"/>
      <c r="B410" s="37"/>
      <c r="C410" s="324"/>
      <c r="D410" s="324"/>
      <c r="E410" s="324"/>
      <c r="F410" s="324"/>
      <c r="G410" s="324"/>
      <c r="H410" s="380"/>
      <c r="I410" s="380"/>
      <c r="J410" s="324"/>
      <c r="K410" s="324"/>
      <c r="L410" s="324"/>
      <c r="M410" s="324"/>
      <c r="N410" s="324"/>
      <c r="O410" s="324"/>
      <c r="P410" s="324"/>
      <c r="Q410" s="324"/>
      <c r="R410" s="40"/>
      <c r="S410" s="114"/>
      <c r="T410" s="114"/>
      <c r="U410" s="114"/>
      <c r="V410" s="114"/>
      <c r="W410" s="324"/>
      <c r="X410" s="114"/>
      <c r="Y410" s="114"/>
      <c r="Z410" s="326"/>
      <c r="AA410" s="381"/>
      <c r="AB410" s="381"/>
      <c r="AC410" s="381"/>
      <c r="AD410" s="381"/>
      <c r="AE410" s="381"/>
      <c r="AF410" s="381"/>
      <c r="AG410" s="381"/>
      <c r="AH410" s="326"/>
      <c r="AI410" s="326"/>
      <c r="AJ410" s="326"/>
      <c r="AK410" s="381"/>
      <c r="AL410" s="381"/>
      <c r="AM410" s="326"/>
      <c r="AN410" s="326"/>
      <c r="AO410" s="381"/>
      <c r="AP410" s="381"/>
      <c r="AQ410" s="381"/>
    </row>
    <row r="411" spans="1:43" ht="14.25" hidden="1" x14ac:dyDescent="0.15">
      <c r="A411" s="379"/>
      <c r="B411" s="37"/>
      <c r="C411" s="324"/>
      <c r="D411" s="324"/>
      <c r="E411" s="324"/>
      <c r="F411" s="324"/>
      <c r="G411" s="324"/>
      <c r="H411" s="380"/>
      <c r="I411" s="380"/>
      <c r="J411" s="324"/>
      <c r="K411" s="324"/>
      <c r="L411" s="324"/>
      <c r="M411" s="324"/>
      <c r="N411" s="324"/>
      <c r="O411" s="324"/>
      <c r="P411" s="324"/>
      <c r="Q411" s="324"/>
      <c r="R411" s="40"/>
      <c r="S411" s="114"/>
      <c r="T411" s="114"/>
      <c r="U411" s="114"/>
      <c r="V411" s="114"/>
      <c r="W411" s="324"/>
      <c r="X411" s="114"/>
      <c r="Y411" s="114"/>
      <c r="Z411" s="326"/>
      <c r="AA411" s="381"/>
      <c r="AB411" s="381"/>
      <c r="AC411" s="381"/>
      <c r="AD411" s="381"/>
      <c r="AE411" s="381"/>
      <c r="AF411" s="381"/>
      <c r="AG411" s="381"/>
      <c r="AH411" s="326"/>
      <c r="AI411" s="326"/>
      <c r="AJ411" s="326"/>
      <c r="AK411" s="381"/>
      <c r="AL411" s="381"/>
      <c r="AM411" s="326"/>
      <c r="AN411" s="326"/>
      <c r="AO411" s="381"/>
      <c r="AP411" s="381"/>
      <c r="AQ411" s="381"/>
    </row>
    <row r="412" spans="1:43" ht="14.25" hidden="1" x14ac:dyDescent="0.15">
      <c r="A412" s="379"/>
      <c r="B412" s="37"/>
      <c r="C412" s="324"/>
      <c r="D412" s="324"/>
      <c r="E412" s="324"/>
      <c r="F412" s="324"/>
      <c r="G412" s="324"/>
      <c r="H412" s="380"/>
      <c r="I412" s="380"/>
      <c r="J412" s="324"/>
      <c r="K412" s="324"/>
      <c r="L412" s="324"/>
      <c r="M412" s="324"/>
      <c r="N412" s="324"/>
      <c r="O412" s="324"/>
      <c r="P412" s="324"/>
      <c r="Q412" s="324"/>
      <c r="R412" s="40"/>
      <c r="S412" s="114"/>
      <c r="T412" s="114"/>
      <c r="U412" s="114"/>
      <c r="V412" s="114"/>
      <c r="W412" s="324"/>
      <c r="X412" s="114"/>
      <c r="Y412" s="114"/>
      <c r="Z412" s="326"/>
      <c r="AA412" s="381"/>
      <c r="AB412" s="381"/>
      <c r="AC412" s="381"/>
      <c r="AD412" s="381"/>
      <c r="AE412" s="381"/>
      <c r="AF412" s="381"/>
      <c r="AG412" s="381"/>
      <c r="AH412" s="326"/>
      <c r="AI412" s="326"/>
      <c r="AJ412" s="326"/>
      <c r="AK412" s="381"/>
      <c r="AL412" s="381"/>
      <c r="AM412" s="326"/>
      <c r="AN412" s="326"/>
      <c r="AO412" s="381"/>
      <c r="AP412" s="381"/>
      <c r="AQ412" s="381"/>
    </row>
    <row r="413" spans="1:43" ht="14.25" hidden="1" x14ac:dyDescent="0.15">
      <c r="A413" s="379"/>
      <c r="B413" s="37"/>
      <c r="C413" s="324"/>
      <c r="D413" s="324"/>
      <c r="E413" s="324"/>
      <c r="F413" s="324"/>
      <c r="G413" s="324"/>
      <c r="H413" s="380"/>
      <c r="I413" s="380"/>
      <c r="J413" s="324"/>
      <c r="K413" s="324"/>
      <c r="L413" s="324"/>
      <c r="M413" s="324"/>
      <c r="N413" s="324"/>
      <c r="O413" s="324"/>
      <c r="P413" s="324"/>
      <c r="Q413" s="324"/>
      <c r="R413" s="40"/>
      <c r="S413" s="114"/>
      <c r="T413" s="114"/>
      <c r="U413" s="114"/>
      <c r="V413" s="114"/>
      <c r="W413" s="324"/>
      <c r="X413" s="114"/>
      <c r="Y413" s="114"/>
      <c r="Z413" s="326"/>
      <c r="AA413" s="381"/>
      <c r="AB413" s="381"/>
      <c r="AC413" s="381"/>
      <c r="AD413" s="381"/>
      <c r="AE413" s="381"/>
      <c r="AF413" s="381"/>
      <c r="AG413" s="381"/>
      <c r="AH413" s="326"/>
      <c r="AI413" s="326"/>
      <c r="AJ413" s="326"/>
      <c r="AK413" s="381"/>
      <c r="AL413" s="381"/>
      <c r="AM413" s="326"/>
      <c r="AN413" s="326"/>
      <c r="AO413" s="381"/>
      <c r="AP413" s="381"/>
      <c r="AQ413" s="381"/>
    </row>
    <row r="414" spans="1:43" ht="14.25" hidden="1" x14ac:dyDescent="0.15">
      <c r="A414" s="379"/>
      <c r="B414" s="37"/>
      <c r="C414" s="324"/>
      <c r="D414" s="324"/>
      <c r="E414" s="324"/>
      <c r="F414" s="324"/>
      <c r="G414" s="324"/>
      <c r="H414" s="380"/>
      <c r="I414" s="380"/>
      <c r="J414" s="324"/>
      <c r="K414" s="324"/>
      <c r="L414" s="324"/>
      <c r="M414" s="324"/>
      <c r="N414" s="324"/>
      <c r="O414" s="324"/>
      <c r="P414" s="324"/>
      <c r="Q414" s="324"/>
      <c r="R414" s="40"/>
      <c r="S414" s="114"/>
      <c r="T414" s="114"/>
      <c r="U414" s="114"/>
      <c r="V414" s="114"/>
      <c r="W414" s="324"/>
      <c r="X414" s="114"/>
      <c r="Y414" s="114"/>
      <c r="Z414" s="326"/>
      <c r="AA414" s="381"/>
      <c r="AB414" s="381"/>
      <c r="AC414" s="381"/>
      <c r="AD414" s="381"/>
      <c r="AE414" s="381"/>
      <c r="AF414" s="381"/>
      <c r="AG414" s="381"/>
      <c r="AH414" s="326"/>
      <c r="AI414" s="326"/>
      <c r="AJ414" s="326"/>
      <c r="AK414" s="381"/>
      <c r="AL414" s="381"/>
      <c r="AM414" s="326"/>
      <c r="AN414" s="326"/>
      <c r="AO414" s="381"/>
      <c r="AP414" s="381"/>
      <c r="AQ414" s="381"/>
    </row>
    <row r="415" spans="1:43" ht="14.25" hidden="1" x14ac:dyDescent="0.15">
      <c r="A415" s="379"/>
      <c r="B415" s="37"/>
      <c r="C415" s="324"/>
      <c r="D415" s="324"/>
      <c r="E415" s="324"/>
      <c r="F415" s="324"/>
      <c r="G415" s="324"/>
      <c r="H415" s="380"/>
      <c r="I415" s="380"/>
      <c r="J415" s="324"/>
      <c r="K415" s="324"/>
      <c r="L415" s="324"/>
      <c r="M415" s="324"/>
      <c r="N415" s="324"/>
      <c r="O415" s="324"/>
      <c r="P415" s="324"/>
      <c r="Q415" s="324"/>
      <c r="R415" s="40"/>
      <c r="S415" s="114"/>
      <c r="T415" s="114"/>
      <c r="U415" s="114"/>
      <c r="V415" s="114"/>
      <c r="W415" s="324"/>
      <c r="X415" s="114"/>
      <c r="Y415" s="114"/>
      <c r="Z415" s="326"/>
      <c r="AA415" s="381"/>
      <c r="AB415" s="381"/>
      <c r="AC415" s="381"/>
      <c r="AD415" s="381"/>
      <c r="AE415" s="381"/>
      <c r="AF415" s="381"/>
      <c r="AG415" s="381"/>
      <c r="AH415" s="326"/>
      <c r="AI415" s="326"/>
      <c r="AJ415" s="326"/>
      <c r="AK415" s="381"/>
      <c r="AL415" s="381"/>
      <c r="AM415" s="326"/>
      <c r="AN415" s="326"/>
      <c r="AO415" s="381"/>
      <c r="AP415" s="381"/>
      <c r="AQ415" s="381"/>
    </row>
    <row r="416" spans="1:43" ht="14.25" hidden="1" x14ac:dyDescent="0.15">
      <c r="A416" s="379"/>
      <c r="B416" s="37"/>
      <c r="C416" s="324"/>
      <c r="D416" s="324"/>
      <c r="E416" s="324"/>
      <c r="F416" s="324"/>
      <c r="G416" s="324"/>
      <c r="H416" s="380"/>
      <c r="I416" s="380"/>
      <c r="J416" s="324"/>
      <c r="K416" s="324"/>
      <c r="L416" s="324"/>
      <c r="M416" s="324"/>
      <c r="N416" s="324"/>
      <c r="O416" s="324"/>
      <c r="P416" s="324"/>
      <c r="Q416" s="324"/>
      <c r="R416" s="40"/>
      <c r="S416" s="114"/>
      <c r="T416" s="114"/>
      <c r="U416" s="114"/>
      <c r="V416" s="114"/>
      <c r="W416" s="324"/>
      <c r="X416" s="114"/>
      <c r="Y416" s="114"/>
      <c r="Z416" s="326"/>
      <c r="AA416" s="381"/>
      <c r="AB416" s="381"/>
      <c r="AC416" s="381"/>
      <c r="AD416" s="381"/>
      <c r="AE416" s="381"/>
      <c r="AF416" s="381"/>
      <c r="AG416" s="381"/>
      <c r="AH416" s="326"/>
      <c r="AI416" s="326"/>
      <c r="AJ416" s="326"/>
      <c r="AK416" s="381"/>
      <c r="AL416" s="381"/>
      <c r="AM416" s="326"/>
      <c r="AN416" s="326"/>
      <c r="AO416" s="381"/>
      <c r="AP416" s="381"/>
      <c r="AQ416" s="381"/>
    </row>
    <row r="417" spans="1:43" ht="14.25" hidden="1" x14ac:dyDescent="0.15">
      <c r="A417" s="379"/>
      <c r="B417" s="37"/>
      <c r="C417" s="324"/>
      <c r="D417" s="324"/>
      <c r="E417" s="324"/>
      <c r="F417" s="324"/>
      <c r="G417" s="324"/>
      <c r="H417" s="380"/>
      <c r="I417" s="380"/>
      <c r="J417" s="324"/>
      <c r="K417" s="324"/>
      <c r="L417" s="324"/>
      <c r="M417" s="324"/>
      <c r="N417" s="324"/>
      <c r="O417" s="324"/>
      <c r="P417" s="324"/>
      <c r="Q417" s="324"/>
      <c r="R417" s="40"/>
      <c r="S417" s="114"/>
      <c r="T417" s="114"/>
      <c r="U417" s="114"/>
      <c r="V417" s="114"/>
      <c r="W417" s="324"/>
      <c r="X417" s="114"/>
      <c r="Y417" s="114"/>
      <c r="Z417" s="326"/>
      <c r="AA417" s="381"/>
      <c r="AB417" s="381"/>
      <c r="AC417" s="381"/>
      <c r="AD417" s="381"/>
      <c r="AE417" s="381"/>
      <c r="AF417" s="381"/>
      <c r="AG417" s="381"/>
      <c r="AH417" s="326"/>
      <c r="AI417" s="326"/>
      <c r="AJ417" s="326"/>
      <c r="AK417" s="381"/>
      <c r="AL417" s="381"/>
      <c r="AM417" s="326"/>
      <c r="AN417" s="326"/>
      <c r="AO417" s="381"/>
      <c r="AP417" s="381"/>
      <c r="AQ417" s="381"/>
    </row>
    <row r="418" spans="1:43" ht="14.25" x14ac:dyDescent="0.15">
      <c r="A418" s="379"/>
      <c r="B418" s="37"/>
      <c r="C418" s="324"/>
      <c r="D418" s="324"/>
      <c r="E418" s="324"/>
      <c r="F418" s="324"/>
      <c r="G418" s="324"/>
      <c r="H418" s="380"/>
      <c r="I418" s="380"/>
      <c r="J418" s="324"/>
      <c r="K418" s="324"/>
      <c r="L418" s="324"/>
      <c r="M418" s="324"/>
      <c r="N418" s="324"/>
      <c r="O418" s="324"/>
      <c r="P418" s="324"/>
      <c r="Q418" s="324"/>
      <c r="R418" s="40"/>
      <c r="S418" s="114"/>
      <c r="T418" s="114"/>
      <c r="U418" s="114"/>
      <c r="V418" s="114"/>
      <c r="W418" s="324"/>
      <c r="X418" s="114"/>
      <c r="Y418" s="114"/>
      <c r="Z418" s="326"/>
      <c r="AA418" s="381"/>
      <c r="AB418" s="381"/>
      <c r="AC418" s="381"/>
      <c r="AD418" s="381"/>
      <c r="AE418" s="381"/>
      <c r="AF418" s="381"/>
      <c r="AG418" s="381"/>
      <c r="AH418" s="326"/>
      <c r="AI418" s="326"/>
      <c r="AJ418" s="326"/>
      <c r="AK418" s="381"/>
      <c r="AL418" s="381"/>
      <c r="AM418" s="326"/>
      <c r="AN418" s="326"/>
      <c r="AO418" s="381"/>
      <c r="AP418" s="381"/>
      <c r="AQ418" s="381"/>
    </row>
    <row r="419" spans="1:43" ht="17.25" thickBot="1" x14ac:dyDescent="0.2">
      <c r="A419" s="330" t="s">
        <v>944</v>
      </c>
      <c r="B419" s="199"/>
      <c r="C419" s="69"/>
      <c r="D419" s="69"/>
      <c r="E419" s="69"/>
      <c r="F419" s="69"/>
      <c r="G419" s="69"/>
      <c r="H419" s="69"/>
      <c r="I419" s="69"/>
      <c r="J419" s="69"/>
      <c r="K419" s="69"/>
      <c r="L419" s="69"/>
      <c r="M419" s="51" t="s">
        <v>108</v>
      </c>
      <c r="N419" s="51" t="s">
        <v>108</v>
      </c>
      <c r="O419" s="51" t="s">
        <v>108</v>
      </c>
      <c r="P419" s="51" t="s">
        <v>108</v>
      </c>
      <c r="Q419" s="51" t="s">
        <v>108</v>
      </c>
      <c r="R419" s="51"/>
      <c r="S419" s="68"/>
      <c r="T419" s="68"/>
      <c r="U419" s="68"/>
      <c r="V419" s="68"/>
      <c r="W419" s="51"/>
      <c r="X419" s="68"/>
      <c r="Y419" s="68"/>
      <c r="Z419" s="68"/>
      <c r="AA419" s="68"/>
      <c r="AB419" s="68"/>
      <c r="AC419" s="68"/>
      <c r="AD419" s="68"/>
      <c r="AE419" s="68"/>
      <c r="AF419" s="68"/>
      <c r="AG419" s="68"/>
      <c r="AH419" s="68"/>
      <c r="AI419" s="68"/>
      <c r="AJ419" s="68"/>
      <c r="AK419" s="68"/>
      <c r="AL419" s="68"/>
      <c r="AM419" s="68"/>
      <c r="AN419" s="68"/>
      <c r="AO419" s="68"/>
      <c r="AP419" s="68"/>
      <c r="AQ419" s="68"/>
    </row>
    <row r="420" spans="1:43" x14ac:dyDescent="0.15">
      <c r="A420" s="60" t="s">
        <v>101</v>
      </c>
      <c r="B420" s="60" t="s">
        <v>101</v>
      </c>
      <c r="C420" s="60"/>
      <c r="D420" s="70"/>
      <c r="E420" s="70"/>
      <c r="F420" s="70"/>
      <c r="G420" s="70"/>
      <c r="H420" s="71"/>
      <c r="I420" s="71"/>
      <c r="J420" s="60"/>
      <c r="K420" s="60"/>
      <c r="L420" s="70"/>
      <c r="M420" s="124"/>
      <c r="N420" s="124"/>
      <c r="O420" s="124"/>
      <c r="P420" s="124"/>
      <c r="Q420" s="124"/>
      <c r="R420" s="202"/>
      <c r="S420" s="56" t="s">
        <v>125</v>
      </c>
      <c r="T420" s="56"/>
      <c r="U420" s="172"/>
      <c r="V420" s="172"/>
      <c r="W420" s="200"/>
      <c r="X420" s="108" t="s">
        <v>61</v>
      </c>
      <c r="Y420" s="108"/>
      <c r="Z420" s="108"/>
      <c r="AA420" s="53"/>
      <c r="AB420" s="55"/>
      <c r="AC420" s="55"/>
      <c r="AD420" s="54"/>
      <c r="AE420" s="54"/>
      <c r="AF420" s="54"/>
      <c r="AG420" s="54"/>
      <c r="AH420" s="57"/>
      <c r="AI420" s="57"/>
      <c r="AJ420" s="58"/>
      <c r="AK420" s="56" t="s">
        <v>93</v>
      </c>
      <c r="AL420" s="57"/>
      <c r="AM420" s="57"/>
      <c r="AN420" s="57"/>
      <c r="AO420" s="72" t="s">
        <v>109</v>
      </c>
      <c r="AP420" s="130"/>
      <c r="AQ420" s="131"/>
    </row>
    <row r="421" spans="1:43" s="100" customFormat="1" ht="94.5" customHeight="1" x14ac:dyDescent="0.15">
      <c r="A421" s="98" t="s">
        <v>52</v>
      </c>
      <c r="B421" s="101"/>
      <c r="C421" s="61" t="s">
        <v>1175</v>
      </c>
      <c r="D421" s="61" t="s">
        <v>795</v>
      </c>
      <c r="E421" s="61" t="s">
        <v>796</v>
      </c>
      <c r="F421" s="61" t="s">
        <v>797</v>
      </c>
      <c r="G421" s="61" t="s">
        <v>773</v>
      </c>
      <c r="H421" s="61" t="s">
        <v>104</v>
      </c>
      <c r="I421" s="61" t="s">
        <v>104</v>
      </c>
      <c r="J421" s="61" t="s">
        <v>1176</v>
      </c>
      <c r="K421" s="61"/>
      <c r="L421" s="61" t="s">
        <v>1177</v>
      </c>
      <c r="M421" s="125" t="s">
        <v>1178</v>
      </c>
      <c r="N421" s="125" t="s">
        <v>1179</v>
      </c>
      <c r="O421" s="125" t="s">
        <v>1180</v>
      </c>
      <c r="P421" s="125" t="s">
        <v>1181</v>
      </c>
      <c r="Q421" s="125" t="s">
        <v>1182</v>
      </c>
      <c r="R421" s="203"/>
      <c r="S421" s="65" t="s">
        <v>126</v>
      </c>
      <c r="T421" s="173" t="s">
        <v>743</v>
      </c>
      <c r="U421" s="173"/>
      <c r="V421" s="173" t="s">
        <v>889</v>
      </c>
      <c r="W421" s="201"/>
      <c r="X421" s="109" t="s">
        <v>100</v>
      </c>
      <c r="Y421" s="112" t="s">
        <v>110</v>
      </c>
      <c r="Z421" s="115" t="s">
        <v>111</v>
      </c>
      <c r="AA421" s="102" t="s">
        <v>112</v>
      </c>
      <c r="AB421" s="102" t="s">
        <v>883</v>
      </c>
      <c r="AC421" s="102" t="s">
        <v>884</v>
      </c>
      <c r="AD421" s="64" t="s">
        <v>885</v>
      </c>
      <c r="AE421" s="64" t="s">
        <v>886</v>
      </c>
      <c r="AF421" s="64" t="s">
        <v>96</v>
      </c>
      <c r="AG421" s="116" t="s">
        <v>97</v>
      </c>
      <c r="AH421" s="99" t="s">
        <v>106</v>
      </c>
      <c r="AI421" s="99" t="s">
        <v>107</v>
      </c>
      <c r="AJ421" s="104" t="s">
        <v>95</v>
      </c>
      <c r="AK421" s="65" t="s">
        <v>1155</v>
      </c>
      <c r="AL421" s="103" t="s">
        <v>113</v>
      </c>
      <c r="AM421" s="103" t="s">
        <v>887</v>
      </c>
      <c r="AN421" s="59" t="s">
        <v>94</v>
      </c>
      <c r="AO421" s="62" t="s">
        <v>98</v>
      </c>
      <c r="AP421" s="63" t="s">
        <v>99</v>
      </c>
      <c r="AQ421" s="73" t="s">
        <v>114</v>
      </c>
    </row>
    <row r="422" spans="1:43" ht="14.25" x14ac:dyDescent="0.15">
      <c r="A422" s="674" t="s">
        <v>53</v>
      </c>
      <c r="B422" s="105" t="s">
        <v>115</v>
      </c>
      <c r="C422" s="309">
        <f t="shared" ref="C422:G423" si="236">+C4*0.7</f>
        <v>31499.999999999996</v>
      </c>
      <c r="D422" s="309">
        <f t="shared" si="236"/>
        <v>24500</v>
      </c>
      <c r="E422" s="309">
        <f t="shared" si="236"/>
        <v>24500</v>
      </c>
      <c r="F422" s="309">
        <f t="shared" si="236"/>
        <v>24500</v>
      </c>
      <c r="G422" s="309">
        <f t="shared" si="236"/>
        <v>24500</v>
      </c>
      <c r="H422" s="312"/>
      <c r="I422" s="312"/>
      <c r="J422" s="42" t="s">
        <v>1183</v>
      </c>
      <c r="K422" s="309"/>
      <c r="L422" s="309">
        <f>+L7*0.7</f>
        <v>38500</v>
      </c>
      <c r="M422" s="313"/>
      <c r="N422" s="313"/>
      <c r="O422" s="313"/>
      <c r="P422" s="313"/>
      <c r="Q422" s="313"/>
      <c r="R422" s="107"/>
      <c r="S422" s="319">
        <f>+S4*0.7</f>
        <v>17500</v>
      </c>
      <c r="T422" s="312"/>
      <c r="U422" s="312"/>
      <c r="V422" s="312"/>
      <c r="W422" s="320"/>
      <c r="X422" s="321">
        <f t="shared" ref="X422:AQ422" si="237">+X4*0.7</f>
        <v>1400</v>
      </c>
      <c r="Y422" s="322">
        <f t="shared" si="237"/>
        <v>1400</v>
      </c>
      <c r="Z422" s="363">
        <f t="shared" si="237"/>
        <v>3150</v>
      </c>
      <c r="AA422" s="364">
        <f t="shared" si="237"/>
        <v>12600</v>
      </c>
      <c r="AB422" s="364">
        <f t="shared" si="237"/>
        <v>6300</v>
      </c>
      <c r="AC422" s="364">
        <f t="shared" si="237"/>
        <v>12600</v>
      </c>
      <c r="AD422" s="364">
        <f t="shared" si="237"/>
        <v>6300</v>
      </c>
      <c r="AE422" s="364">
        <f t="shared" si="237"/>
        <v>12600</v>
      </c>
      <c r="AF422" s="364">
        <f t="shared" si="237"/>
        <v>12600</v>
      </c>
      <c r="AG422" s="365">
        <f t="shared" si="237"/>
        <v>12600</v>
      </c>
      <c r="AH422" s="363">
        <f t="shared" ref="AH422:AJ423" si="238">+AH4*0.7</f>
        <v>125999.99999999999</v>
      </c>
      <c r="AI422" s="363">
        <f t="shared" si="238"/>
        <v>251999.99999999997</v>
      </c>
      <c r="AJ422" s="363">
        <f t="shared" si="238"/>
        <v>42000</v>
      </c>
      <c r="AK422" s="366">
        <f t="shared" si="237"/>
        <v>6300</v>
      </c>
      <c r="AL422" s="364">
        <f t="shared" si="237"/>
        <v>6300</v>
      </c>
      <c r="AM422" s="363">
        <f t="shared" si="237"/>
        <v>105000</v>
      </c>
      <c r="AN422" s="363">
        <f t="shared" si="237"/>
        <v>42000</v>
      </c>
      <c r="AO422" s="367">
        <f t="shared" si="237"/>
        <v>18900</v>
      </c>
      <c r="AP422" s="364">
        <f t="shared" si="237"/>
        <v>12600</v>
      </c>
      <c r="AQ422" s="364">
        <f t="shared" si="237"/>
        <v>6300</v>
      </c>
    </row>
    <row r="423" spans="1:43" ht="15" thickBot="1" x14ac:dyDescent="0.2">
      <c r="A423" s="677"/>
      <c r="B423" s="82" t="s">
        <v>116</v>
      </c>
      <c r="C423" s="310">
        <f t="shared" si="236"/>
        <v>45500</v>
      </c>
      <c r="D423" s="310">
        <f t="shared" si="236"/>
        <v>31499.999999999996</v>
      </c>
      <c r="E423" s="310">
        <f t="shared" si="236"/>
        <v>31499.999999999996</v>
      </c>
      <c r="F423" s="310">
        <f t="shared" si="236"/>
        <v>31499.999999999996</v>
      </c>
      <c r="G423" s="310">
        <f t="shared" si="236"/>
        <v>31499.999999999996</v>
      </c>
      <c r="H423" s="314"/>
      <c r="I423" s="314"/>
      <c r="J423" s="43" t="s">
        <v>1183</v>
      </c>
      <c r="K423" s="310"/>
      <c r="L423" s="310">
        <f t="shared" ref="L423:L430" si="239">+L9*0.7</f>
        <v>62999.999999999993</v>
      </c>
      <c r="M423" s="318"/>
      <c r="N423" s="318"/>
      <c r="O423" s="318"/>
      <c r="P423" s="318"/>
      <c r="Q423" s="318"/>
      <c r="R423" s="40"/>
      <c r="S423" s="323">
        <f>+S5*0.7</f>
        <v>17500</v>
      </c>
      <c r="T423" s="312"/>
      <c r="U423" s="312"/>
      <c r="V423" s="312"/>
      <c r="W423" s="324"/>
      <c r="X423" s="325">
        <f t="shared" ref="X423:AQ423" si="240">+X5*0.7</f>
        <v>1400</v>
      </c>
      <c r="Y423" s="326">
        <f t="shared" si="240"/>
        <v>1400</v>
      </c>
      <c r="Z423" s="368">
        <f t="shared" si="240"/>
        <v>4550</v>
      </c>
      <c r="AA423" s="367">
        <f t="shared" si="240"/>
        <v>18200</v>
      </c>
      <c r="AB423" s="367">
        <f t="shared" si="240"/>
        <v>9100</v>
      </c>
      <c r="AC423" s="367">
        <f t="shared" si="240"/>
        <v>18200</v>
      </c>
      <c r="AD423" s="367">
        <f t="shared" si="240"/>
        <v>9100</v>
      </c>
      <c r="AE423" s="367">
        <f t="shared" si="240"/>
        <v>18200</v>
      </c>
      <c r="AF423" s="367">
        <f t="shared" si="240"/>
        <v>18200</v>
      </c>
      <c r="AG423" s="369">
        <f t="shared" si="240"/>
        <v>18200</v>
      </c>
      <c r="AH423" s="371">
        <f t="shared" si="238"/>
        <v>125999.99999999999</v>
      </c>
      <c r="AI423" s="371">
        <f t="shared" si="238"/>
        <v>251999.99999999997</v>
      </c>
      <c r="AJ423" s="372">
        <f t="shared" si="238"/>
        <v>42000</v>
      </c>
      <c r="AK423" s="370">
        <f t="shared" si="240"/>
        <v>9100</v>
      </c>
      <c r="AL423" s="367">
        <f t="shared" si="240"/>
        <v>9100</v>
      </c>
      <c r="AM423" s="371">
        <f t="shared" si="240"/>
        <v>105000</v>
      </c>
      <c r="AN423" s="371">
        <f t="shared" si="240"/>
        <v>42000</v>
      </c>
      <c r="AO423" s="367">
        <f t="shared" si="240"/>
        <v>27300</v>
      </c>
      <c r="AP423" s="367">
        <f t="shared" si="240"/>
        <v>18200</v>
      </c>
      <c r="AQ423" s="367">
        <f t="shared" si="240"/>
        <v>9100</v>
      </c>
    </row>
    <row r="424" spans="1:43" ht="14.25" x14ac:dyDescent="0.15">
      <c r="A424" s="675" t="s">
        <v>122</v>
      </c>
      <c r="B424" s="84" t="s">
        <v>66</v>
      </c>
      <c r="C424" s="311">
        <f t="shared" ref="C424:I430" si="241">+C10*0.7</f>
        <v>54600</v>
      </c>
      <c r="D424" s="311">
        <f t="shared" si="241"/>
        <v>37800</v>
      </c>
      <c r="E424" s="311">
        <f t="shared" si="241"/>
        <v>37800</v>
      </c>
      <c r="F424" s="311">
        <f t="shared" si="241"/>
        <v>37800</v>
      </c>
      <c r="G424" s="311">
        <f t="shared" si="241"/>
        <v>37800</v>
      </c>
      <c r="H424" s="311">
        <f t="shared" ref="H424" si="242">+H10*0.7</f>
        <v>100800</v>
      </c>
      <c r="I424" s="311">
        <f t="shared" si="241"/>
        <v>120959.99999999999</v>
      </c>
      <c r="J424" s="85" t="s">
        <v>1183</v>
      </c>
      <c r="K424" s="311"/>
      <c r="L424" s="311">
        <f t="shared" si="239"/>
        <v>40600</v>
      </c>
      <c r="M424" s="315">
        <f t="shared" ref="M424:Q430" si="243">+M10*0.7</f>
        <v>49000</v>
      </c>
      <c r="N424" s="315">
        <f>+N10*0.7</f>
        <v>58799.999999999993</v>
      </c>
      <c r="O424" s="315">
        <f t="shared" ref="O424:P424" si="244">+O10*0.7</f>
        <v>58799.999999999993</v>
      </c>
      <c r="P424" s="315">
        <f t="shared" si="244"/>
        <v>68600</v>
      </c>
      <c r="Q424" s="315">
        <f t="shared" si="243"/>
        <v>4900</v>
      </c>
      <c r="R424" s="155"/>
      <c r="S424" s="327">
        <f>+S6*0.7</f>
        <v>17500</v>
      </c>
      <c r="T424" s="328">
        <f t="shared" ref="T424:T430" si="245">+T10*0.7</f>
        <v>42000</v>
      </c>
      <c r="U424" s="328"/>
      <c r="V424" s="328">
        <f t="shared" ref="V424:V430" si="246">+V10*0.7</f>
        <v>2100</v>
      </c>
      <c r="W424" s="329"/>
      <c r="X424" s="476">
        <f t="shared" ref="X424:AQ424" si="247">+X10*0.7</f>
        <v>1400</v>
      </c>
      <c r="Y424" s="476">
        <f t="shared" si="247"/>
        <v>1400</v>
      </c>
      <c r="Z424" s="469">
        <f t="shared" si="247"/>
        <v>5460</v>
      </c>
      <c r="AA424" s="470">
        <f t="shared" si="247"/>
        <v>21840</v>
      </c>
      <c r="AB424" s="470">
        <f t="shared" si="247"/>
        <v>10920</v>
      </c>
      <c r="AC424" s="470">
        <f t="shared" si="247"/>
        <v>21840</v>
      </c>
      <c r="AD424" s="470">
        <f t="shared" si="247"/>
        <v>10920</v>
      </c>
      <c r="AE424" s="470">
        <f t="shared" si="247"/>
        <v>21840</v>
      </c>
      <c r="AF424" s="470">
        <f t="shared" si="247"/>
        <v>21840</v>
      </c>
      <c r="AG424" s="471">
        <f t="shared" si="247"/>
        <v>21840</v>
      </c>
      <c r="AH424" s="469">
        <f t="shared" ref="AH424:AJ430" si="248">+AH10*0.7</f>
        <v>125999.99999999999</v>
      </c>
      <c r="AI424" s="469">
        <f t="shared" si="248"/>
        <v>251999.99999999997</v>
      </c>
      <c r="AJ424" s="473">
        <f t="shared" si="248"/>
        <v>42000</v>
      </c>
      <c r="AK424" s="472">
        <f t="shared" si="247"/>
        <v>10920</v>
      </c>
      <c r="AL424" s="470">
        <f t="shared" si="247"/>
        <v>10920</v>
      </c>
      <c r="AM424" s="469">
        <f t="shared" si="247"/>
        <v>105000</v>
      </c>
      <c r="AN424" s="469">
        <f t="shared" si="247"/>
        <v>42000</v>
      </c>
      <c r="AO424" s="470">
        <f t="shared" si="247"/>
        <v>32759.999999999996</v>
      </c>
      <c r="AP424" s="470">
        <f t="shared" si="247"/>
        <v>21840</v>
      </c>
      <c r="AQ424" s="470">
        <f t="shared" si="247"/>
        <v>10920</v>
      </c>
    </row>
    <row r="425" spans="1:43" ht="14.25" x14ac:dyDescent="0.15">
      <c r="A425" s="343"/>
      <c r="B425" s="91" t="s">
        <v>67</v>
      </c>
      <c r="C425" s="309">
        <f t="shared" si="241"/>
        <v>71400</v>
      </c>
      <c r="D425" s="309">
        <f t="shared" si="241"/>
        <v>43400</v>
      </c>
      <c r="E425" s="309">
        <f t="shared" si="241"/>
        <v>43400</v>
      </c>
      <c r="F425" s="309">
        <f t="shared" si="241"/>
        <v>43400</v>
      </c>
      <c r="G425" s="309">
        <f t="shared" si="241"/>
        <v>43400</v>
      </c>
      <c r="H425" s="309">
        <f t="shared" ref="H425" si="249">+H11*0.7</f>
        <v>117599.99999999999</v>
      </c>
      <c r="I425" s="309">
        <f t="shared" si="241"/>
        <v>141120</v>
      </c>
      <c r="J425" s="42" t="s">
        <v>1183</v>
      </c>
      <c r="K425" s="309"/>
      <c r="L425" s="309">
        <f t="shared" si="239"/>
        <v>44800</v>
      </c>
      <c r="M425" s="316">
        <f t="shared" si="243"/>
        <v>53900</v>
      </c>
      <c r="N425" s="316">
        <f t="shared" ref="N425:P425" si="250">+N11*0.7</f>
        <v>64679.999999999993</v>
      </c>
      <c r="O425" s="316">
        <f t="shared" si="250"/>
        <v>64679.999999999993</v>
      </c>
      <c r="P425" s="316">
        <f t="shared" si="250"/>
        <v>75460</v>
      </c>
      <c r="Q425" s="316">
        <f t="shared" si="243"/>
        <v>5390</v>
      </c>
      <c r="R425" s="107"/>
      <c r="S425" s="319">
        <f>+S7*0.7</f>
        <v>17500</v>
      </c>
      <c r="T425" s="321">
        <f t="shared" si="245"/>
        <v>42000</v>
      </c>
      <c r="U425" s="321"/>
      <c r="V425" s="321">
        <f t="shared" si="246"/>
        <v>2100</v>
      </c>
      <c r="W425" s="320"/>
      <c r="X425" s="322">
        <f t="shared" ref="X425:AQ425" si="251">+X11*0.7</f>
        <v>1400</v>
      </c>
      <c r="Y425" s="322">
        <f t="shared" si="251"/>
        <v>1400</v>
      </c>
      <c r="Z425" s="363">
        <f t="shared" si="251"/>
        <v>7140</v>
      </c>
      <c r="AA425" s="364">
        <f t="shared" si="251"/>
        <v>28560</v>
      </c>
      <c r="AB425" s="364">
        <f t="shared" si="251"/>
        <v>14280</v>
      </c>
      <c r="AC425" s="364">
        <f t="shared" si="251"/>
        <v>28560</v>
      </c>
      <c r="AD425" s="364">
        <f t="shared" si="251"/>
        <v>14280</v>
      </c>
      <c r="AE425" s="364">
        <f t="shared" si="251"/>
        <v>28560</v>
      </c>
      <c r="AF425" s="364">
        <f t="shared" si="251"/>
        <v>28560</v>
      </c>
      <c r="AG425" s="365">
        <f t="shared" si="251"/>
        <v>28560</v>
      </c>
      <c r="AH425" s="371">
        <f t="shared" si="248"/>
        <v>125999.99999999999</v>
      </c>
      <c r="AI425" s="371">
        <f t="shared" si="248"/>
        <v>251999.99999999997</v>
      </c>
      <c r="AJ425" s="372">
        <f t="shared" si="248"/>
        <v>42000</v>
      </c>
      <c r="AK425" s="366">
        <f t="shared" si="251"/>
        <v>14280</v>
      </c>
      <c r="AL425" s="364">
        <f t="shared" si="251"/>
        <v>14280</v>
      </c>
      <c r="AM425" s="363">
        <f t="shared" si="251"/>
        <v>105000</v>
      </c>
      <c r="AN425" s="363">
        <f t="shared" si="251"/>
        <v>42000</v>
      </c>
      <c r="AO425" s="364">
        <f t="shared" si="251"/>
        <v>42840</v>
      </c>
      <c r="AP425" s="364">
        <f t="shared" si="251"/>
        <v>28560</v>
      </c>
      <c r="AQ425" s="364">
        <f t="shared" si="251"/>
        <v>14280</v>
      </c>
    </row>
    <row r="426" spans="1:43" ht="14.25" x14ac:dyDescent="0.15">
      <c r="A426" s="343"/>
      <c r="B426" s="91" t="s">
        <v>997</v>
      </c>
      <c r="C426" s="309">
        <f t="shared" si="241"/>
        <v>88200</v>
      </c>
      <c r="D426" s="309">
        <f t="shared" si="241"/>
        <v>62999.999999999993</v>
      </c>
      <c r="E426" s="309">
        <f t="shared" si="241"/>
        <v>62999.999999999993</v>
      </c>
      <c r="F426" s="309">
        <f t="shared" si="241"/>
        <v>62999.999999999993</v>
      </c>
      <c r="G426" s="309">
        <f t="shared" si="241"/>
        <v>62999.999999999993</v>
      </c>
      <c r="H426" s="309">
        <f t="shared" ref="H426" si="252">+H12*0.7</f>
        <v>134400</v>
      </c>
      <c r="I426" s="309">
        <f t="shared" si="241"/>
        <v>161280</v>
      </c>
      <c r="J426" s="42" t="s">
        <v>1183</v>
      </c>
      <c r="K426" s="309"/>
      <c r="L426" s="309">
        <f t="shared" si="239"/>
        <v>62999.999999999993</v>
      </c>
      <c r="M426" s="316">
        <f t="shared" si="243"/>
        <v>75600</v>
      </c>
      <c r="N426" s="316">
        <f t="shared" ref="N426:P426" si="253">+N12*0.7</f>
        <v>90720</v>
      </c>
      <c r="O426" s="316">
        <f t="shared" si="253"/>
        <v>90720</v>
      </c>
      <c r="P426" s="316">
        <f t="shared" si="253"/>
        <v>105840</v>
      </c>
      <c r="Q426" s="316">
        <f t="shared" si="243"/>
        <v>7559.9999999999991</v>
      </c>
      <c r="R426" s="107"/>
      <c r="S426" s="319">
        <f>+S9*0.7</f>
        <v>17500</v>
      </c>
      <c r="T426" s="321">
        <f t="shared" si="245"/>
        <v>42000</v>
      </c>
      <c r="U426" s="321"/>
      <c r="V426" s="321">
        <f t="shared" si="246"/>
        <v>2100</v>
      </c>
      <c r="W426" s="320"/>
      <c r="X426" s="322">
        <f t="shared" ref="X426:AQ426" si="254">+X12*0.7</f>
        <v>1400</v>
      </c>
      <c r="Y426" s="322">
        <f t="shared" si="254"/>
        <v>1400</v>
      </c>
      <c r="Z426" s="363">
        <f t="shared" si="254"/>
        <v>8820</v>
      </c>
      <c r="AA426" s="364">
        <f t="shared" si="254"/>
        <v>35280</v>
      </c>
      <c r="AB426" s="364">
        <f t="shared" si="254"/>
        <v>17640</v>
      </c>
      <c r="AC426" s="364">
        <f t="shared" si="254"/>
        <v>35280</v>
      </c>
      <c r="AD426" s="364">
        <f t="shared" si="254"/>
        <v>17640</v>
      </c>
      <c r="AE426" s="364">
        <f t="shared" si="254"/>
        <v>35280</v>
      </c>
      <c r="AF426" s="364">
        <f t="shared" si="254"/>
        <v>35280</v>
      </c>
      <c r="AG426" s="365">
        <f t="shared" si="254"/>
        <v>35280</v>
      </c>
      <c r="AH426" s="363">
        <f t="shared" si="248"/>
        <v>125999.99999999999</v>
      </c>
      <c r="AI426" s="363">
        <f t="shared" si="248"/>
        <v>251999.99999999997</v>
      </c>
      <c r="AJ426" s="373">
        <f t="shared" si="248"/>
        <v>42000</v>
      </c>
      <c r="AK426" s="366">
        <f t="shared" si="254"/>
        <v>17640</v>
      </c>
      <c r="AL426" s="364">
        <f t="shared" si="254"/>
        <v>17640</v>
      </c>
      <c r="AM426" s="363">
        <f t="shared" si="254"/>
        <v>105000</v>
      </c>
      <c r="AN426" s="363">
        <f t="shared" si="254"/>
        <v>42000</v>
      </c>
      <c r="AO426" s="364">
        <f t="shared" si="254"/>
        <v>52920</v>
      </c>
      <c r="AP426" s="364">
        <f t="shared" si="254"/>
        <v>35280</v>
      </c>
      <c r="AQ426" s="364">
        <f t="shared" si="254"/>
        <v>17640</v>
      </c>
    </row>
    <row r="427" spans="1:43" ht="14.25" x14ac:dyDescent="0.15">
      <c r="A427" s="343"/>
      <c r="B427" s="91" t="s">
        <v>998</v>
      </c>
      <c r="C427" s="309">
        <f t="shared" si="241"/>
        <v>88200</v>
      </c>
      <c r="D427" s="309">
        <f t="shared" si="241"/>
        <v>62999.999999999993</v>
      </c>
      <c r="E427" s="309">
        <f t="shared" si="241"/>
        <v>62999.999999999993</v>
      </c>
      <c r="F427" s="309">
        <f t="shared" si="241"/>
        <v>62999.999999999993</v>
      </c>
      <c r="G427" s="309">
        <f t="shared" si="241"/>
        <v>62999.999999999993</v>
      </c>
      <c r="H427" s="309">
        <f t="shared" ref="H427" si="255">+H13*0.7</f>
        <v>134400</v>
      </c>
      <c r="I427" s="309">
        <f t="shared" si="241"/>
        <v>161280</v>
      </c>
      <c r="J427" s="42" t="s">
        <v>1183</v>
      </c>
      <c r="K427" s="309"/>
      <c r="L427" s="309">
        <f t="shared" si="239"/>
        <v>62999.999999999993</v>
      </c>
      <c r="M427" s="316">
        <f t="shared" si="243"/>
        <v>75600</v>
      </c>
      <c r="N427" s="316">
        <f t="shared" ref="N427:P427" si="256">+N13*0.7</f>
        <v>90720</v>
      </c>
      <c r="O427" s="316">
        <f t="shared" si="256"/>
        <v>90720</v>
      </c>
      <c r="P427" s="316">
        <f t="shared" si="256"/>
        <v>105840</v>
      </c>
      <c r="Q427" s="316">
        <f t="shared" si="243"/>
        <v>7559.9999999999991</v>
      </c>
      <c r="R427" s="107"/>
      <c r="S427" s="319">
        <f>+S10*0.7</f>
        <v>17500</v>
      </c>
      <c r="T427" s="321">
        <f t="shared" si="245"/>
        <v>42000</v>
      </c>
      <c r="U427" s="321"/>
      <c r="V427" s="321">
        <f t="shared" si="246"/>
        <v>2100</v>
      </c>
      <c r="W427" s="320"/>
      <c r="X427" s="322">
        <f t="shared" ref="X427:AQ427" si="257">+X13*0.7</f>
        <v>1400</v>
      </c>
      <c r="Y427" s="322">
        <f t="shared" si="257"/>
        <v>1400</v>
      </c>
      <c r="Z427" s="363">
        <f t="shared" si="257"/>
        <v>8820</v>
      </c>
      <c r="AA427" s="364">
        <f t="shared" si="257"/>
        <v>35280</v>
      </c>
      <c r="AB427" s="364">
        <f t="shared" si="257"/>
        <v>17640</v>
      </c>
      <c r="AC427" s="364">
        <f t="shared" si="257"/>
        <v>35280</v>
      </c>
      <c r="AD427" s="364">
        <f t="shared" si="257"/>
        <v>17640</v>
      </c>
      <c r="AE427" s="364">
        <f t="shared" si="257"/>
        <v>35280</v>
      </c>
      <c r="AF427" s="364">
        <f t="shared" si="257"/>
        <v>35280</v>
      </c>
      <c r="AG427" s="365">
        <f t="shared" si="257"/>
        <v>35280</v>
      </c>
      <c r="AH427" s="363">
        <f t="shared" si="248"/>
        <v>125999.99999999999</v>
      </c>
      <c r="AI427" s="363">
        <f t="shared" si="248"/>
        <v>251999.99999999997</v>
      </c>
      <c r="AJ427" s="373">
        <f t="shared" si="248"/>
        <v>42000</v>
      </c>
      <c r="AK427" s="366">
        <f t="shared" si="257"/>
        <v>17640</v>
      </c>
      <c r="AL427" s="364">
        <f t="shared" si="257"/>
        <v>17640</v>
      </c>
      <c r="AM427" s="363">
        <f t="shared" si="257"/>
        <v>105000</v>
      </c>
      <c r="AN427" s="363">
        <f t="shared" si="257"/>
        <v>42000</v>
      </c>
      <c r="AO427" s="364">
        <f t="shared" si="257"/>
        <v>52920</v>
      </c>
      <c r="AP427" s="364">
        <f t="shared" si="257"/>
        <v>35280</v>
      </c>
      <c r="AQ427" s="364">
        <f t="shared" si="257"/>
        <v>17640</v>
      </c>
    </row>
    <row r="428" spans="1:43" ht="14.25" x14ac:dyDescent="0.15">
      <c r="A428" s="343"/>
      <c r="B428" s="105" t="s">
        <v>68</v>
      </c>
      <c r="C428" s="309">
        <f t="shared" si="241"/>
        <v>113400</v>
      </c>
      <c r="D428" s="309">
        <f t="shared" si="241"/>
        <v>84000</v>
      </c>
      <c r="E428" s="309">
        <f t="shared" si="241"/>
        <v>84000</v>
      </c>
      <c r="F428" s="309">
        <f t="shared" si="241"/>
        <v>84000</v>
      </c>
      <c r="G428" s="309">
        <f t="shared" si="241"/>
        <v>84000</v>
      </c>
      <c r="H428" s="309">
        <f t="shared" ref="H428" si="258">+H14*0.7</f>
        <v>151200</v>
      </c>
      <c r="I428" s="309">
        <f t="shared" si="241"/>
        <v>181440</v>
      </c>
      <c r="J428" s="42" t="s">
        <v>1183</v>
      </c>
      <c r="K428" s="309"/>
      <c r="L428" s="309">
        <f t="shared" si="239"/>
        <v>92400</v>
      </c>
      <c r="M428" s="316">
        <f t="shared" si="243"/>
        <v>110600</v>
      </c>
      <c r="N428" s="316">
        <f t="shared" ref="N428:P428" si="259">+N14*0.7</f>
        <v>132720</v>
      </c>
      <c r="O428" s="316">
        <f t="shared" si="259"/>
        <v>132720</v>
      </c>
      <c r="P428" s="316">
        <f t="shared" si="259"/>
        <v>154840</v>
      </c>
      <c r="Q428" s="316">
        <f t="shared" si="243"/>
        <v>11060</v>
      </c>
      <c r="R428" s="107"/>
      <c r="S428" s="319">
        <f>+S10*0.7</f>
        <v>17500</v>
      </c>
      <c r="T428" s="321">
        <f t="shared" si="245"/>
        <v>42000</v>
      </c>
      <c r="U428" s="321"/>
      <c r="V428" s="321">
        <f t="shared" si="246"/>
        <v>2100</v>
      </c>
      <c r="W428" s="320"/>
      <c r="X428" s="322">
        <f t="shared" ref="X428:AQ428" si="260">+X14*0.7</f>
        <v>1400</v>
      </c>
      <c r="Y428" s="322">
        <f t="shared" si="260"/>
        <v>1400</v>
      </c>
      <c r="Z428" s="363">
        <f t="shared" si="260"/>
        <v>11340</v>
      </c>
      <c r="AA428" s="364">
        <f t="shared" si="260"/>
        <v>45360</v>
      </c>
      <c r="AB428" s="364">
        <f t="shared" si="260"/>
        <v>22680</v>
      </c>
      <c r="AC428" s="364">
        <f t="shared" si="260"/>
        <v>45360</v>
      </c>
      <c r="AD428" s="364">
        <f t="shared" si="260"/>
        <v>22680</v>
      </c>
      <c r="AE428" s="364">
        <f t="shared" si="260"/>
        <v>45360</v>
      </c>
      <c r="AF428" s="364">
        <f t="shared" si="260"/>
        <v>45360</v>
      </c>
      <c r="AG428" s="365">
        <f t="shared" si="260"/>
        <v>45360</v>
      </c>
      <c r="AH428" s="371">
        <f t="shared" si="248"/>
        <v>125999.99999999999</v>
      </c>
      <c r="AI428" s="371">
        <f t="shared" si="248"/>
        <v>251999.99999999997</v>
      </c>
      <c r="AJ428" s="372">
        <f t="shared" si="248"/>
        <v>42000</v>
      </c>
      <c r="AK428" s="366">
        <f t="shared" si="260"/>
        <v>22680</v>
      </c>
      <c r="AL428" s="364">
        <f t="shared" si="260"/>
        <v>22680</v>
      </c>
      <c r="AM428" s="363">
        <f t="shared" si="260"/>
        <v>105000</v>
      </c>
      <c r="AN428" s="363">
        <f t="shared" si="260"/>
        <v>42000</v>
      </c>
      <c r="AO428" s="364">
        <f t="shared" si="260"/>
        <v>68040</v>
      </c>
      <c r="AP428" s="364">
        <f t="shared" si="260"/>
        <v>45360</v>
      </c>
      <c r="AQ428" s="364">
        <f t="shared" si="260"/>
        <v>22680</v>
      </c>
    </row>
    <row r="429" spans="1:43" ht="14.25" x14ac:dyDescent="0.15">
      <c r="A429" s="343"/>
      <c r="B429" s="105" t="s">
        <v>69</v>
      </c>
      <c r="C429" s="309">
        <f t="shared" si="241"/>
        <v>147000</v>
      </c>
      <c r="D429" s="309">
        <f t="shared" si="241"/>
        <v>92400</v>
      </c>
      <c r="E429" s="309">
        <f t="shared" si="241"/>
        <v>92400</v>
      </c>
      <c r="F429" s="309">
        <f t="shared" si="241"/>
        <v>92400</v>
      </c>
      <c r="G429" s="309">
        <f t="shared" si="241"/>
        <v>92400</v>
      </c>
      <c r="H429" s="309">
        <f t="shared" ref="H429" si="261">+H15*0.7</f>
        <v>168000</v>
      </c>
      <c r="I429" s="309">
        <f t="shared" si="241"/>
        <v>201600</v>
      </c>
      <c r="J429" s="42" t="s">
        <v>1183</v>
      </c>
      <c r="K429" s="309"/>
      <c r="L429" s="309">
        <f t="shared" si="239"/>
        <v>109200</v>
      </c>
      <c r="M429" s="316">
        <f t="shared" si="243"/>
        <v>130899.99999999999</v>
      </c>
      <c r="N429" s="316">
        <f t="shared" ref="N429:P429" si="262">+N15*0.7</f>
        <v>157080</v>
      </c>
      <c r="O429" s="316">
        <f t="shared" si="262"/>
        <v>157080</v>
      </c>
      <c r="P429" s="316">
        <f t="shared" si="262"/>
        <v>183259.99999999997</v>
      </c>
      <c r="Q429" s="316">
        <f t="shared" si="243"/>
        <v>13090</v>
      </c>
      <c r="R429" s="107"/>
      <c r="S429" s="319">
        <f>+S11*0.7</f>
        <v>17500</v>
      </c>
      <c r="T429" s="321">
        <f t="shared" si="245"/>
        <v>42000</v>
      </c>
      <c r="U429" s="321"/>
      <c r="V429" s="321">
        <f t="shared" si="246"/>
        <v>2100</v>
      </c>
      <c r="W429" s="320"/>
      <c r="X429" s="322">
        <f t="shared" ref="X429:AQ429" si="263">+X15*0.7</f>
        <v>1400</v>
      </c>
      <c r="Y429" s="322">
        <f t="shared" si="263"/>
        <v>1400</v>
      </c>
      <c r="Z429" s="363">
        <f t="shared" si="263"/>
        <v>14699.999999999998</v>
      </c>
      <c r="AA429" s="364">
        <f t="shared" si="263"/>
        <v>58799.999999999993</v>
      </c>
      <c r="AB429" s="364">
        <f t="shared" si="263"/>
        <v>29399.999999999996</v>
      </c>
      <c r="AC429" s="364">
        <f t="shared" si="263"/>
        <v>58799.999999999993</v>
      </c>
      <c r="AD429" s="364">
        <f t="shared" si="263"/>
        <v>29399.999999999996</v>
      </c>
      <c r="AE429" s="364">
        <f t="shared" si="263"/>
        <v>58799.999999999993</v>
      </c>
      <c r="AF429" s="364">
        <f t="shared" si="263"/>
        <v>58799.999999999993</v>
      </c>
      <c r="AG429" s="365">
        <f t="shared" si="263"/>
        <v>58799.999999999993</v>
      </c>
      <c r="AH429" s="363">
        <f t="shared" si="248"/>
        <v>125999.99999999999</v>
      </c>
      <c r="AI429" s="363">
        <f t="shared" si="248"/>
        <v>251999.99999999997</v>
      </c>
      <c r="AJ429" s="373">
        <f t="shared" si="248"/>
        <v>42000</v>
      </c>
      <c r="AK429" s="366">
        <f t="shared" si="263"/>
        <v>29399.999999999996</v>
      </c>
      <c r="AL429" s="364">
        <f t="shared" si="263"/>
        <v>29399.999999999996</v>
      </c>
      <c r="AM429" s="363">
        <f t="shared" si="263"/>
        <v>105000</v>
      </c>
      <c r="AN429" s="363">
        <f t="shared" si="263"/>
        <v>42000</v>
      </c>
      <c r="AO429" s="364">
        <f t="shared" si="263"/>
        <v>88200</v>
      </c>
      <c r="AP429" s="364">
        <f t="shared" si="263"/>
        <v>58799.999999999993</v>
      </c>
      <c r="AQ429" s="364">
        <f t="shared" si="263"/>
        <v>29399.999999999996</v>
      </c>
    </row>
    <row r="430" spans="1:43" ht="14.25" x14ac:dyDescent="0.15">
      <c r="A430" s="343"/>
      <c r="B430" s="105" t="s">
        <v>70</v>
      </c>
      <c r="C430" s="309">
        <f t="shared" si="241"/>
        <v>176400</v>
      </c>
      <c r="D430" s="309">
        <f t="shared" si="241"/>
        <v>121799.99999999999</v>
      </c>
      <c r="E430" s="309">
        <f t="shared" si="241"/>
        <v>121799.99999999999</v>
      </c>
      <c r="F430" s="309">
        <f t="shared" si="241"/>
        <v>121799.99999999999</v>
      </c>
      <c r="G430" s="309">
        <f t="shared" si="241"/>
        <v>121799.99999999999</v>
      </c>
      <c r="H430" s="309">
        <f t="shared" ref="H430" si="264">+H16*0.7</f>
        <v>184800</v>
      </c>
      <c r="I430" s="309">
        <f t="shared" si="241"/>
        <v>221760</v>
      </c>
      <c r="J430" s="42" t="s">
        <v>1183</v>
      </c>
      <c r="K430" s="309"/>
      <c r="L430" s="309">
        <f t="shared" si="239"/>
        <v>151200</v>
      </c>
      <c r="M430" s="316">
        <f t="shared" si="243"/>
        <v>181300</v>
      </c>
      <c r="N430" s="316">
        <f t="shared" ref="N430:P430" si="265">+N16*0.7</f>
        <v>217560</v>
      </c>
      <c r="O430" s="316">
        <f t="shared" si="265"/>
        <v>217560</v>
      </c>
      <c r="P430" s="316">
        <f t="shared" si="265"/>
        <v>253819.99999999997</v>
      </c>
      <c r="Q430" s="316">
        <f t="shared" si="243"/>
        <v>18130</v>
      </c>
      <c r="R430" s="107"/>
      <c r="S430" s="319">
        <f>+S12*0.7</f>
        <v>17500</v>
      </c>
      <c r="T430" s="321">
        <f t="shared" si="245"/>
        <v>42000</v>
      </c>
      <c r="U430" s="321"/>
      <c r="V430" s="321">
        <f t="shared" si="246"/>
        <v>2100</v>
      </c>
      <c r="W430" s="320"/>
      <c r="X430" s="322">
        <f t="shared" ref="X430:AQ430" si="266">+X16*0.7</f>
        <v>1400</v>
      </c>
      <c r="Y430" s="322">
        <f t="shared" si="266"/>
        <v>1400</v>
      </c>
      <c r="Z430" s="363">
        <f t="shared" si="266"/>
        <v>17640</v>
      </c>
      <c r="AA430" s="364">
        <f t="shared" si="266"/>
        <v>70560</v>
      </c>
      <c r="AB430" s="364">
        <f t="shared" si="266"/>
        <v>35280</v>
      </c>
      <c r="AC430" s="364">
        <f t="shared" si="266"/>
        <v>70560</v>
      </c>
      <c r="AD430" s="364">
        <f t="shared" si="266"/>
        <v>35280</v>
      </c>
      <c r="AE430" s="364">
        <f t="shared" si="266"/>
        <v>70560</v>
      </c>
      <c r="AF430" s="364">
        <f t="shared" si="266"/>
        <v>70560</v>
      </c>
      <c r="AG430" s="365">
        <f t="shared" si="266"/>
        <v>70560</v>
      </c>
      <c r="AH430" s="371">
        <f t="shared" si="248"/>
        <v>125999.99999999999</v>
      </c>
      <c r="AI430" s="371">
        <f t="shared" si="248"/>
        <v>251999.99999999997</v>
      </c>
      <c r="AJ430" s="372">
        <f t="shared" si="248"/>
        <v>42000</v>
      </c>
      <c r="AK430" s="366">
        <f t="shared" si="266"/>
        <v>35280</v>
      </c>
      <c r="AL430" s="364">
        <f t="shared" si="266"/>
        <v>35280</v>
      </c>
      <c r="AM430" s="363">
        <f t="shared" si="266"/>
        <v>105000</v>
      </c>
      <c r="AN430" s="363">
        <f t="shared" si="266"/>
        <v>42000</v>
      </c>
      <c r="AO430" s="364">
        <f t="shared" si="266"/>
        <v>105840</v>
      </c>
      <c r="AP430" s="364">
        <f t="shared" si="266"/>
        <v>70560</v>
      </c>
      <c r="AQ430" s="364">
        <f t="shared" si="266"/>
        <v>35280</v>
      </c>
    </row>
    <row r="431" spans="1:43" ht="14.25" x14ac:dyDescent="0.15">
      <c r="A431" s="343"/>
      <c r="B431" s="105" t="s">
        <v>71</v>
      </c>
      <c r="C431" s="309">
        <f t="shared" ref="C431:I434" si="267">+C19*0.7</f>
        <v>244999.99999999997</v>
      </c>
      <c r="D431" s="309">
        <f t="shared" si="267"/>
        <v>134400</v>
      </c>
      <c r="E431" s="309">
        <f t="shared" si="267"/>
        <v>134400</v>
      </c>
      <c r="F431" s="309">
        <f t="shared" si="267"/>
        <v>134400</v>
      </c>
      <c r="G431" s="309">
        <f t="shared" si="267"/>
        <v>134400</v>
      </c>
      <c r="H431" s="309">
        <f t="shared" ref="H431" si="268">+H19*0.7</f>
        <v>201600</v>
      </c>
      <c r="I431" s="309">
        <f t="shared" si="267"/>
        <v>241919.99999999997</v>
      </c>
      <c r="J431" s="42" t="s">
        <v>1183</v>
      </c>
      <c r="K431" s="309"/>
      <c r="L431" s="309">
        <f t="shared" ref="L431:L443" si="269">+L19*0.7</f>
        <v>184800</v>
      </c>
      <c r="M431" s="316">
        <f t="shared" ref="M431:Q443" si="270">+M19*0.7</f>
        <v>221900</v>
      </c>
      <c r="N431" s="316">
        <f t="shared" ref="N431:P431" si="271">+N19*0.7</f>
        <v>266280</v>
      </c>
      <c r="O431" s="316">
        <f t="shared" si="271"/>
        <v>266280</v>
      </c>
      <c r="P431" s="316">
        <f t="shared" si="271"/>
        <v>310660</v>
      </c>
      <c r="Q431" s="316">
        <f t="shared" si="270"/>
        <v>22190</v>
      </c>
      <c r="R431" s="107"/>
      <c r="S431" s="319">
        <f>+S14*0.7</f>
        <v>17500</v>
      </c>
      <c r="T431" s="321">
        <f t="shared" ref="T431:T443" si="272">+T19*0.7</f>
        <v>42000</v>
      </c>
      <c r="U431" s="321"/>
      <c r="V431" s="321">
        <f t="shared" ref="V431:V443" si="273">+V19*0.7</f>
        <v>2100</v>
      </c>
      <c r="W431" s="320"/>
      <c r="X431" s="322">
        <f t="shared" ref="X431:AQ431" si="274">+X19*0.7</f>
        <v>1400</v>
      </c>
      <c r="Y431" s="322">
        <f t="shared" si="274"/>
        <v>1400</v>
      </c>
      <c r="Z431" s="363">
        <f t="shared" si="274"/>
        <v>24500</v>
      </c>
      <c r="AA431" s="364">
        <f t="shared" si="274"/>
        <v>98000</v>
      </c>
      <c r="AB431" s="364">
        <f t="shared" si="274"/>
        <v>49000</v>
      </c>
      <c r="AC431" s="364">
        <f t="shared" si="274"/>
        <v>98000</v>
      </c>
      <c r="AD431" s="364">
        <f t="shared" si="274"/>
        <v>49000</v>
      </c>
      <c r="AE431" s="364">
        <f t="shared" si="274"/>
        <v>98000</v>
      </c>
      <c r="AF431" s="364">
        <f t="shared" si="274"/>
        <v>98000</v>
      </c>
      <c r="AG431" s="365">
        <f t="shared" si="274"/>
        <v>98000</v>
      </c>
      <c r="AH431" s="363">
        <f t="shared" ref="AH431:AJ445" si="275">+AH19*0.7</f>
        <v>125999.99999999999</v>
      </c>
      <c r="AI431" s="363">
        <f t="shared" si="275"/>
        <v>251999.99999999997</v>
      </c>
      <c r="AJ431" s="373">
        <f t="shared" si="275"/>
        <v>42000</v>
      </c>
      <c r="AK431" s="366">
        <f t="shared" si="274"/>
        <v>49000</v>
      </c>
      <c r="AL431" s="364">
        <f t="shared" si="274"/>
        <v>49000</v>
      </c>
      <c r="AM431" s="363">
        <f t="shared" si="274"/>
        <v>105000</v>
      </c>
      <c r="AN431" s="363">
        <f t="shared" si="274"/>
        <v>42000</v>
      </c>
      <c r="AO431" s="364">
        <f t="shared" si="274"/>
        <v>147000</v>
      </c>
      <c r="AP431" s="364">
        <f t="shared" si="274"/>
        <v>98000</v>
      </c>
      <c r="AQ431" s="364">
        <f t="shared" si="274"/>
        <v>49000</v>
      </c>
    </row>
    <row r="432" spans="1:43" ht="14.25" x14ac:dyDescent="0.15">
      <c r="A432" s="343"/>
      <c r="B432" s="105" t="s">
        <v>72</v>
      </c>
      <c r="C432" s="309">
        <f t="shared" si="267"/>
        <v>294000</v>
      </c>
      <c r="D432" s="309">
        <f t="shared" si="267"/>
        <v>156800</v>
      </c>
      <c r="E432" s="309">
        <f t="shared" si="267"/>
        <v>156800</v>
      </c>
      <c r="F432" s="309">
        <f t="shared" si="267"/>
        <v>156800</v>
      </c>
      <c r="G432" s="309">
        <f t="shared" si="267"/>
        <v>156800</v>
      </c>
      <c r="H432" s="309">
        <f t="shared" ref="H432" si="276">+H20*0.7</f>
        <v>218400</v>
      </c>
      <c r="I432" s="309">
        <f t="shared" si="267"/>
        <v>262079.99999999997</v>
      </c>
      <c r="J432" s="42" t="s">
        <v>1183</v>
      </c>
      <c r="K432" s="309"/>
      <c r="L432" s="309">
        <f t="shared" si="269"/>
        <v>210000</v>
      </c>
      <c r="M432" s="316">
        <f t="shared" si="270"/>
        <v>251999.99999999997</v>
      </c>
      <c r="N432" s="316">
        <f t="shared" ref="N432:P432" si="277">+N20*0.7</f>
        <v>302400</v>
      </c>
      <c r="O432" s="316">
        <f t="shared" si="277"/>
        <v>302400</v>
      </c>
      <c r="P432" s="316">
        <f t="shared" si="277"/>
        <v>352799.99999999994</v>
      </c>
      <c r="Q432" s="316">
        <f t="shared" si="270"/>
        <v>25200</v>
      </c>
      <c r="R432" s="107"/>
      <c r="S432" s="319">
        <f>+S15*0.7</f>
        <v>17500</v>
      </c>
      <c r="T432" s="321">
        <f t="shared" si="272"/>
        <v>42000</v>
      </c>
      <c r="U432" s="321"/>
      <c r="V432" s="321">
        <f t="shared" si="273"/>
        <v>2100</v>
      </c>
      <c r="W432" s="320"/>
      <c r="X432" s="322">
        <f t="shared" ref="X432:AQ432" si="278">+X20*0.7</f>
        <v>1400</v>
      </c>
      <c r="Y432" s="322">
        <f t="shared" si="278"/>
        <v>1400</v>
      </c>
      <c r="Z432" s="363">
        <f t="shared" si="278"/>
        <v>29399.999999999996</v>
      </c>
      <c r="AA432" s="364">
        <f t="shared" si="278"/>
        <v>117599.99999999999</v>
      </c>
      <c r="AB432" s="364">
        <f t="shared" si="278"/>
        <v>58799.999999999993</v>
      </c>
      <c r="AC432" s="364">
        <f t="shared" si="278"/>
        <v>117599.99999999999</v>
      </c>
      <c r="AD432" s="364">
        <f t="shared" si="278"/>
        <v>58799.999999999993</v>
      </c>
      <c r="AE432" s="364">
        <f t="shared" si="278"/>
        <v>117599.99999999999</v>
      </c>
      <c r="AF432" s="364">
        <f t="shared" si="278"/>
        <v>117599.99999999999</v>
      </c>
      <c r="AG432" s="365">
        <f t="shared" si="278"/>
        <v>117599.99999999999</v>
      </c>
      <c r="AH432" s="371">
        <f t="shared" si="275"/>
        <v>125999.99999999999</v>
      </c>
      <c r="AI432" s="371">
        <f t="shared" si="275"/>
        <v>251999.99999999997</v>
      </c>
      <c r="AJ432" s="372">
        <f t="shared" si="275"/>
        <v>42000</v>
      </c>
      <c r="AK432" s="366">
        <f t="shared" si="278"/>
        <v>58799.999999999993</v>
      </c>
      <c r="AL432" s="364">
        <f t="shared" si="278"/>
        <v>58799.999999999993</v>
      </c>
      <c r="AM432" s="363">
        <f t="shared" si="278"/>
        <v>105000</v>
      </c>
      <c r="AN432" s="363">
        <f t="shared" si="278"/>
        <v>42000</v>
      </c>
      <c r="AO432" s="364">
        <f t="shared" si="278"/>
        <v>176400</v>
      </c>
      <c r="AP432" s="364">
        <f t="shared" si="278"/>
        <v>117599.99999999999</v>
      </c>
      <c r="AQ432" s="364">
        <f t="shared" si="278"/>
        <v>58799.999999999993</v>
      </c>
    </row>
    <row r="433" spans="1:43" ht="14.25" x14ac:dyDescent="0.15">
      <c r="A433" s="343"/>
      <c r="B433" s="105" t="s">
        <v>73</v>
      </c>
      <c r="C433" s="309">
        <f t="shared" si="267"/>
        <v>336000</v>
      </c>
      <c r="D433" s="309">
        <f t="shared" si="267"/>
        <v>184800</v>
      </c>
      <c r="E433" s="309">
        <f t="shared" si="267"/>
        <v>184800</v>
      </c>
      <c r="F433" s="309">
        <f t="shared" si="267"/>
        <v>184800</v>
      </c>
      <c r="G433" s="309">
        <f t="shared" si="267"/>
        <v>184800</v>
      </c>
      <c r="H433" s="309">
        <f t="shared" ref="H433" si="279">+H21*0.7</f>
        <v>243599.99999999997</v>
      </c>
      <c r="I433" s="309">
        <f t="shared" si="267"/>
        <v>292320</v>
      </c>
      <c r="J433" s="42" t="s">
        <v>1183</v>
      </c>
      <c r="K433" s="309"/>
      <c r="L433" s="309">
        <f t="shared" si="269"/>
        <v>251999.99999999997</v>
      </c>
      <c r="M433" s="316">
        <f t="shared" si="270"/>
        <v>302400</v>
      </c>
      <c r="N433" s="316">
        <f t="shared" ref="N433:P433" si="280">+N21*0.7</f>
        <v>362880</v>
      </c>
      <c r="O433" s="316">
        <f t="shared" si="280"/>
        <v>362880</v>
      </c>
      <c r="P433" s="316">
        <f t="shared" si="280"/>
        <v>423360</v>
      </c>
      <c r="Q433" s="316">
        <f t="shared" si="270"/>
        <v>30239.999999999996</v>
      </c>
      <c r="R433" s="107"/>
      <c r="S433" s="319">
        <f>+S16*0.7</f>
        <v>17500</v>
      </c>
      <c r="T433" s="321">
        <f t="shared" si="272"/>
        <v>42000</v>
      </c>
      <c r="U433" s="321"/>
      <c r="V433" s="321">
        <f t="shared" si="273"/>
        <v>2100</v>
      </c>
      <c r="W433" s="320"/>
      <c r="X433" s="322">
        <f t="shared" ref="X433:AQ433" si="281">+X21*0.7</f>
        <v>1400</v>
      </c>
      <c r="Y433" s="322">
        <f t="shared" si="281"/>
        <v>1400</v>
      </c>
      <c r="Z433" s="363">
        <f t="shared" si="281"/>
        <v>33600</v>
      </c>
      <c r="AA433" s="364">
        <f t="shared" si="281"/>
        <v>134400</v>
      </c>
      <c r="AB433" s="364">
        <f t="shared" si="281"/>
        <v>67200</v>
      </c>
      <c r="AC433" s="364">
        <f t="shared" si="281"/>
        <v>134400</v>
      </c>
      <c r="AD433" s="364">
        <f t="shared" si="281"/>
        <v>67200</v>
      </c>
      <c r="AE433" s="364">
        <f t="shared" si="281"/>
        <v>134400</v>
      </c>
      <c r="AF433" s="364">
        <f t="shared" si="281"/>
        <v>134400</v>
      </c>
      <c r="AG433" s="365">
        <f t="shared" si="281"/>
        <v>134400</v>
      </c>
      <c r="AH433" s="363">
        <f t="shared" si="275"/>
        <v>125999.99999999999</v>
      </c>
      <c r="AI433" s="363">
        <f t="shared" si="275"/>
        <v>251999.99999999997</v>
      </c>
      <c r="AJ433" s="373">
        <f t="shared" si="275"/>
        <v>42000</v>
      </c>
      <c r="AK433" s="366">
        <f t="shared" si="281"/>
        <v>67200</v>
      </c>
      <c r="AL433" s="364">
        <f t="shared" si="281"/>
        <v>67200</v>
      </c>
      <c r="AM433" s="363">
        <f t="shared" si="281"/>
        <v>105000</v>
      </c>
      <c r="AN433" s="363">
        <f t="shared" si="281"/>
        <v>42000</v>
      </c>
      <c r="AO433" s="364">
        <f t="shared" si="281"/>
        <v>201600</v>
      </c>
      <c r="AP433" s="364">
        <f t="shared" si="281"/>
        <v>134400</v>
      </c>
      <c r="AQ433" s="364">
        <f t="shared" si="281"/>
        <v>67200</v>
      </c>
    </row>
    <row r="434" spans="1:43" ht="14.25" x14ac:dyDescent="0.15">
      <c r="A434" s="343"/>
      <c r="B434" s="105" t="s">
        <v>74</v>
      </c>
      <c r="C434" s="309">
        <f t="shared" si="267"/>
        <v>378000</v>
      </c>
      <c r="D434" s="309">
        <f t="shared" si="267"/>
        <v>222600</v>
      </c>
      <c r="E434" s="309">
        <f t="shared" si="267"/>
        <v>222600</v>
      </c>
      <c r="F434" s="309">
        <f t="shared" si="267"/>
        <v>222600</v>
      </c>
      <c r="G434" s="309">
        <f t="shared" si="267"/>
        <v>222600</v>
      </c>
      <c r="H434" s="309">
        <f t="shared" ref="H434" si="282">+H22*0.7</f>
        <v>268800</v>
      </c>
      <c r="I434" s="309">
        <f t="shared" si="267"/>
        <v>322560</v>
      </c>
      <c r="J434" s="42" t="s">
        <v>1183</v>
      </c>
      <c r="K434" s="309"/>
      <c r="L434" s="309">
        <f t="shared" si="269"/>
        <v>294000</v>
      </c>
      <c r="M434" s="316">
        <f t="shared" si="270"/>
        <v>352800</v>
      </c>
      <c r="N434" s="316">
        <f t="shared" ref="N434:P434" si="283">+N22*0.7</f>
        <v>423360</v>
      </c>
      <c r="O434" s="316">
        <f t="shared" si="283"/>
        <v>423360</v>
      </c>
      <c r="P434" s="316">
        <f t="shared" si="283"/>
        <v>493919.99999999994</v>
      </c>
      <c r="Q434" s="316">
        <f t="shared" si="270"/>
        <v>35280</v>
      </c>
      <c r="R434" s="107"/>
      <c r="S434" s="319">
        <f t="shared" ref="S434:S438" si="284">+S19*0.7</f>
        <v>17500</v>
      </c>
      <c r="T434" s="321">
        <f t="shared" si="272"/>
        <v>42000</v>
      </c>
      <c r="U434" s="321"/>
      <c r="V434" s="321">
        <f t="shared" si="273"/>
        <v>2100</v>
      </c>
      <c r="W434" s="320"/>
      <c r="X434" s="322">
        <f t="shared" ref="X434:AQ434" si="285">+X22*0.7</f>
        <v>1400</v>
      </c>
      <c r="Y434" s="322">
        <f t="shared" si="285"/>
        <v>1400</v>
      </c>
      <c r="Z434" s="363">
        <f t="shared" si="285"/>
        <v>37800</v>
      </c>
      <c r="AA434" s="364">
        <f t="shared" si="285"/>
        <v>151200</v>
      </c>
      <c r="AB434" s="364">
        <f t="shared" si="285"/>
        <v>75600</v>
      </c>
      <c r="AC434" s="364">
        <f t="shared" si="285"/>
        <v>151200</v>
      </c>
      <c r="AD434" s="364">
        <f t="shared" si="285"/>
        <v>75600</v>
      </c>
      <c r="AE434" s="364">
        <f t="shared" si="285"/>
        <v>151200</v>
      </c>
      <c r="AF434" s="364">
        <f t="shared" si="285"/>
        <v>151200</v>
      </c>
      <c r="AG434" s="365">
        <f t="shared" si="285"/>
        <v>151200</v>
      </c>
      <c r="AH434" s="371">
        <f t="shared" si="275"/>
        <v>125999.99999999999</v>
      </c>
      <c r="AI434" s="371">
        <f t="shared" si="275"/>
        <v>251999.99999999997</v>
      </c>
      <c r="AJ434" s="372">
        <f t="shared" si="275"/>
        <v>42000</v>
      </c>
      <c r="AK434" s="366">
        <f t="shared" si="285"/>
        <v>75600</v>
      </c>
      <c r="AL434" s="364">
        <f t="shared" si="285"/>
        <v>75600</v>
      </c>
      <c r="AM434" s="363">
        <f t="shared" si="285"/>
        <v>105000</v>
      </c>
      <c r="AN434" s="363">
        <f t="shared" si="285"/>
        <v>42000</v>
      </c>
      <c r="AO434" s="364">
        <f t="shared" si="285"/>
        <v>226800</v>
      </c>
      <c r="AP434" s="364">
        <f t="shared" si="285"/>
        <v>151200</v>
      </c>
      <c r="AQ434" s="364">
        <f t="shared" si="285"/>
        <v>75600</v>
      </c>
    </row>
    <row r="435" spans="1:43" ht="14.25" x14ac:dyDescent="0.15">
      <c r="A435" s="343"/>
      <c r="B435" s="105" t="s">
        <v>75</v>
      </c>
      <c r="C435" s="309">
        <f t="shared" ref="C435:I443" si="286">+C23*0.7</f>
        <v>420000</v>
      </c>
      <c r="D435" s="309">
        <f t="shared" si="286"/>
        <v>230999.99999999997</v>
      </c>
      <c r="E435" s="309">
        <f t="shared" si="286"/>
        <v>230999.99999999997</v>
      </c>
      <c r="F435" s="309">
        <f t="shared" si="286"/>
        <v>230999.99999999997</v>
      </c>
      <c r="G435" s="309">
        <f t="shared" si="286"/>
        <v>230999.99999999997</v>
      </c>
      <c r="H435" s="309">
        <f t="shared" ref="H435" si="287">+H23*0.7</f>
        <v>294000</v>
      </c>
      <c r="I435" s="309">
        <f t="shared" si="286"/>
        <v>352800</v>
      </c>
      <c r="J435" s="42" t="s">
        <v>1183</v>
      </c>
      <c r="K435" s="309"/>
      <c r="L435" s="309">
        <f t="shared" si="269"/>
        <v>336000</v>
      </c>
      <c r="M435" s="316">
        <f t="shared" si="270"/>
        <v>403200</v>
      </c>
      <c r="N435" s="316">
        <f t="shared" ref="N435:P435" si="288">+N23*0.7</f>
        <v>483839.99999999994</v>
      </c>
      <c r="O435" s="316">
        <f t="shared" si="288"/>
        <v>483839.99999999994</v>
      </c>
      <c r="P435" s="316">
        <f t="shared" si="288"/>
        <v>564480</v>
      </c>
      <c r="Q435" s="316">
        <f t="shared" si="270"/>
        <v>40320</v>
      </c>
      <c r="R435" s="107"/>
      <c r="S435" s="319">
        <f t="shared" si="284"/>
        <v>17500</v>
      </c>
      <c r="T435" s="321">
        <f t="shared" si="272"/>
        <v>42000</v>
      </c>
      <c r="U435" s="321"/>
      <c r="V435" s="321">
        <f t="shared" si="273"/>
        <v>2100</v>
      </c>
      <c r="W435" s="320"/>
      <c r="X435" s="322">
        <f t="shared" ref="X435:AQ435" si="289">+X23*0.7</f>
        <v>1400</v>
      </c>
      <c r="Y435" s="322">
        <f t="shared" si="289"/>
        <v>1400</v>
      </c>
      <c r="Z435" s="363">
        <f t="shared" si="289"/>
        <v>42000</v>
      </c>
      <c r="AA435" s="364">
        <f t="shared" si="289"/>
        <v>168000</v>
      </c>
      <c r="AB435" s="364">
        <f t="shared" si="289"/>
        <v>84000</v>
      </c>
      <c r="AC435" s="364">
        <f t="shared" si="289"/>
        <v>168000</v>
      </c>
      <c r="AD435" s="364">
        <f t="shared" si="289"/>
        <v>84000</v>
      </c>
      <c r="AE435" s="364">
        <f t="shared" si="289"/>
        <v>168000</v>
      </c>
      <c r="AF435" s="364">
        <f t="shared" si="289"/>
        <v>168000</v>
      </c>
      <c r="AG435" s="365">
        <f t="shared" si="289"/>
        <v>168000</v>
      </c>
      <c r="AH435" s="363">
        <f t="shared" si="275"/>
        <v>125999.99999999999</v>
      </c>
      <c r="AI435" s="363">
        <f t="shared" si="275"/>
        <v>251999.99999999997</v>
      </c>
      <c r="AJ435" s="373">
        <f t="shared" si="275"/>
        <v>42000</v>
      </c>
      <c r="AK435" s="366">
        <f t="shared" si="289"/>
        <v>84000</v>
      </c>
      <c r="AL435" s="364">
        <f t="shared" si="289"/>
        <v>84000</v>
      </c>
      <c r="AM435" s="363">
        <f t="shared" si="289"/>
        <v>105000</v>
      </c>
      <c r="AN435" s="363">
        <f t="shared" si="289"/>
        <v>42000</v>
      </c>
      <c r="AO435" s="364">
        <f t="shared" si="289"/>
        <v>251999.99999999997</v>
      </c>
      <c r="AP435" s="364">
        <f t="shared" si="289"/>
        <v>168000</v>
      </c>
      <c r="AQ435" s="364">
        <f t="shared" si="289"/>
        <v>84000</v>
      </c>
    </row>
    <row r="436" spans="1:43" ht="14.25" x14ac:dyDescent="0.15">
      <c r="A436" s="343"/>
      <c r="B436" s="105" t="s">
        <v>76</v>
      </c>
      <c r="C436" s="309">
        <f t="shared" si="286"/>
        <v>503999.99999999994</v>
      </c>
      <c r="D436" s="309">
        <f t="shared" si="286"/>
        <v>268800</v>
      </c>
      <c r="E436" s="309">
        <f t="shared" si="286"/>
        <v>268800</v>
      </c>
      <c r="F436" s="309">
        <f t="shared" si="286"/>
        <v>268800</v>
      </c>
      <c r="G436" s="309">
        <f t="shared" si="286"/>
        <v>268800</v>
      </c>
      <c r="H436" s="309">
        <f t="shared" ref="H436" si="290">+H24*0.7</f>
        <v>319200</v>
      </c>
      <c r="I436" s="309">
        <f t="shared" si="286"/>
        <v>383040</v>
      </c>
      <c r="J436" s="42" t="s">
        <v>1183</v>
      </c>
      <c r="K436" s="309"/>
      <c r="L436" s="309">
        <f t="shared" si="269"/>
        <v>378000</v>
      </c>
      <c r="M436" s="316">
        <f t="shared" si="270"/>
        <v>453600</v>
      </c>
      <c r="N436" s="316">
        <f t="shared" ref="N436:P436" si="291">+N24*0.7</f>
        <v>544320</v>
      </c>
      <c r="O436" s="316">
        <f t="shared" si="291"/>
        <v>544320</v>
      </c>
      <c r="P436" s="316">
        <f t="shared" si="291"/>
        <v>635040</v>
      </c>
      <c r="Q436" s="316">
        <f t="shared" si="270"/>
        <v>45360</v>
      </c>
      <c r="R436" s="107"/>
      <c r="S436" s="319">
        <f t="shared" si="284"/>
        <v>17500</v>
      </c>
      <c r="T436" s="321">
        <f t="shared" si="272"/>
        <v>42000</v>
      </c>
      <c r="U436" s="321"/>
      <c r="V436" s="321">
        <f t="shared" si="273"/>
        <v>2100</v>
      </c>
      <c r="W436" s="320"/>
      <c r="X436" s="322">
        <f t="shared" ref="X436:AQ436" si="292">+X24*0.7</f>
        <v>1400</v>
      </c>
      <c r="Y436" s="322">
        <f t="shared" si="292"/>
        <v>1400</v>
      </c>
      <c r="Z436" s="363">
        <f t="shared" si="292"/>
        <v>50400</v>
      </c>
      <c r="AA436" s="364">
        <f t="shared" si="292"/>
        <v>201600</v>
      </c>
      <c r="AB436" s="364">
        <f t="shared" si="292"/>
        <v>100800</v>
      </c>
      <c r="AC436" s="364">
        <f t="shared" si="292"/>
        <v>201600</v>
      </c>
      <c r="AD436" s="364">
        <f t="shared" si="292"/>
        <v>100800</v>
      </c>
      <c r="AE436" s="364">
        <f t="shared" si="292"/>
        <v>201600</v>
      </c>
      <c r="AF436" s="364">
        <f t="shared" si="292"/>
        <v>201600</v>
      </c>
      <c r="AG436" s="365">
        <f t="shared" si="292"/>
        <v>201600</v>
      </c>
      <c r="AH436" s="371">
        <f t="shared" si="275"/>
        <v>125999.99999999999</v>
      </c>
      <c r="AI436" s="371">
        <f t="shared" si="275"/>
        <v>251999.99999999997</v>
      </c>
      <c r="AJ436" s="372">
        <f t="shared" si="275"/>
        <v>42000</v>
      </c>
      <c r="AK436" s="366">
        <f t="shared" si="292"/>
        <v>100800</v>
      </c>
      <c r="AL436" s="364">
        <f t="shared" si="292"/>
        <v>100800</v>
      </c>
      <c r="AM436" s="363">
        <f t="shared" si="292"/>
        <v>105000</v>
      </c>
      <c r="AN436" s="363">
        <f t="shared" si="292"/>
        <v>42000</v>
      </c>
      <c r="AO436" s="364">
        <f t="shared" si="292"/>
        <v>302400</v>
      </c>
      <c r="AP436" s="364">
        <f t="shared" si="292"/>
        <v>201600</v>
      </c>
      <c r="AQ436" s="364">
        <f t="shared" si="292"/>
        <v>100800</v>
      </c>
    </row>
    <row r="437" spans="1:43" ht="14.25" x14ac:dyDescent="0.15">
      <c r="A437" s="343"/>
      <c r="B437" s="105" t="s">
        <v>937</v>
      </c>
      <c r="C437" s="309">
        <f t="shared" si="286"/>
        <v>588000</v>
      </c>
      <c r="D437" s="309">
        <f t="shared" si="286"/>
        <v>294000</v>
      </c>
      <c r="E437" s="309">
        <f t="shared" si="286"/>
        <v>294000</v>
      </c>
      <c r="F437" s="309">
        <f t="shared" si="286"/>
        <v>294000</v>
      </c>
      <c r="G437" s="309">
        <f t="shared" si="286"/>
        <v>294000</v>
      </c>
      <c r="H437" s="317">
        <f t="shared" ref="H437" si="293">+H25*0.7</f>
        <v>344400</v>
      </c>
      <c r="I437" s="317">
        <f t="shared" si="286"/>
        <v>413280</v>
      </c>
      <c r="J437" s="42" t="s">
        <v>1183</v>
      </c>
      <c r="K437" s="309"/>
      <c r="L437" s="309">
        <f t="shared" si="269"/>
        <v>420000</v>
      </c>
      <c r="M437" s="316">
        <f t="shared" si="270"/>
        <v>503999.99999999994</v>
      </c>
      <c r="N437" s="316">
        <f t="shared" ref="N437:P437" si="294">+N25*0.7</f>
        <v>604800</v>
      </c>
      <c r="O437" s="316">
        <f t="shared" si="294"/>
        <v>604800</v>
      </c>
      <c r="P437" s="316">
        <f t="shared" si="294"/>
        <v>705599.99999999988</v>
      </c>
      <c r="Q437" s="316">
        <f t="shared" si="270"/>
        <v>50400</v>
      </c>
      <c r="R437" s="107"/>
      <c r="S437" s="319">
        <f t="shared" si="284"/>
        <v>17500</v>
      </c>
      <c r="T437" s="321">
        <f t="shared" si="272"/>
        <v>42000</v>
      </c>
      <c r="U437" s="321"/>
      <c r="V437" s="321">
        <f t="shared" si="273"/>
        <v>2100</v>
      </c>
      <c r="W437" s="320"/>
      <c r="X437" s="322">
        <f t="shared" ref="X437:AQ437" si="295">+X25*0.7</f>
        <v>1400</v>
      </c>
      <c r="Y437" s="322">
        <f t="shared" si="295"/>
        <v>1400</v>
      </c>
      <c r="Z437" s="363">
        <f t="shared" si="295"/>
        <v>58799.999999999993</v>
      </c>
      <c r="AA437" s="364">
        <f t="shared" si="295"/>
        <v>235199.99999999997</v>
      </c>
      <c r="AB437" s="364">
        <f t="shared" si="295"/>
        <v>117599.99999999999</v>
      </c>
      <c r="AC437" s="364">
        <f t="shared" si="295"/>
        <v>235199.99999999997</v>
      </c>
      <c r="AD437" s="364">
        <f t="shared" si="295"/>
        <v>117599.99999999999</v>
      </c>
      <c r="AE437" s="364">
        <f t="shared" si="295"/>
        <v>235199.99999999997</v>
      </c>
      <c r="AF437" s="364">
        <f t="shared" si="295"/>
        <v>235199.99999999997</v>
      </c>
      <c r="AG437" s="365">
        <f t="shared" si="295"/>
        <v>235199.99999999997</v>
      </c>
      <c r="AH437" s="363">
        <f t="shared" si="275"/>
        <v>125999.99999999999</v>
      </c>
      <c r="AI437" s="363">
        <f t="shared" si="275"/>
        <v>251999.99999999997</v>
      </c>
      <c r="AJ437" s="373">
        <f t="shared" si="275"/>
        <v>42000</v>
      </c>
      <c r="AK437" s="366">
        <f t="shared" si="295"/>
        <v>117599.99999999999</v>
      </c>
      <c r="AL437" s="364">
        <f t="shared" si="295"/>
        <v>117599.99999999999</v>
      </c>
      <c r="AM437" s="363">
        <f t="shared" si="295"/>
        <v>105000</v>
      </c>
      <c r="AN437" s="363">
        <f t="shared" si="295"/>
        <v>42000</v>
      </c>
      <c r="AO437" s="364">
        <f t="shared" si="295"/>
        <v>352800</v>
      </c>
      <c r="AP437" s="364">
        <f t="shared" si="295"/>
        <v>235199.99999999997</v>
      </c>
      <c r="AQ437" s="364">
        <f t="shared" si="295"/>
        <v>117599.99999999999</v>
      </c>
    </row>
    <row r="438" spans="1:43" ht="14.25" x14ac:dyDescent="0.15">
      <c r="A438" s="343"/>
      <c r="B438" s="105" t="s">
        <v>938</v>
      </c>
      <c r="C438" s="309">
        <f t="shared" si="286"/>
        <v>588000</v>
      </c>
      <c r="D438" s="309">
        <f t="shared" si="286"/>
        <v>294000</v>
      </c>
      <c r="E438" s="309">
        <f t="shared" si="286"/>
        <v>294000</v>
      </c>
      <c r="F438" s="309">
        <f t="shared" si="286"/>
        <v>294000</v>
      </c>
      <c r="G438" s="309">
        <f t="shared" si="286"/>
        <v>294000</v>
      </c>
      <c r="H438" s="317">
        <f t="shared" ref="H438" si="296">+H26*0.7</f>
        <v>344400</v>
      </c>
      <c r="I438" s="317">
        <f t="shared" si="286"/>
        <v>413280</v>
      </c>
      <c r="J438" s="42" t="s">
        <v>1183</v>
      </c>
      <c r="K438" s="309"/>
      <c r="L438" s="309">
        <f t="shared" si="269"/>
        <v>420000</v>
      </c>
      <c r="M438" s="316">
        <f t="shared" si="270"/>
        <v>503999.99999999994</v>
      </c>
      <c r="N438" s="316">
        <f t="shared" ref="N438:P438" si="297">+N26*0.7</f>
        <v>604800</v>
      </c>
      <c r="O438" s="316">
        <f t="shared" si="297"/>
        <v>604800</v>
      </c>
      <c r="P438" s="316">
        <f t="shared" si="297"/>
        <v>705599.99999999988</v>
      </c>
      <c r="Q438" s="316">
        <f t="shared" si="270"/>
        <v>50400</v>
      </c>
      <c r="R438" s="107"/>
      <c r="S438" s="319">
        <f t="shared" si="284"/>
        <v>17500</v>
      </c>
      <c r="T438" s="321">
        <f t="shared" si="272"/>
        <v>42000</v>
      </c>
      <c r="U438" s="321"/>
      <c r="V438" s="321">
        <f t="shared" si="273"/>
        <v>2100</v>
      </c>
      <c r="W438" s="320"/>
      <c r="X438" s="322">
        <f t="shared" ref="X438:AQ438" si="298">+X26*0.7</f>
        <v>1400</v>
      </c>
      <c r="Y438" s="322">
        <f t="shared" si="298"/>
        <v>1400</v>
      </c>
      <c r="Z438" s="363">
        <f t="shared" si="298"/>
        <v>58799.999999999993</v>
      </c>
      <c r="AA438" s="364">
        <f t="shared" si="298"/>
        <v>235199.99999999997</v>
      </c>
      <c r="AB438" s="364">
        <f t="shared" si="298"/>
        <v>117599.99999999999</v>
      </c>
      <c r="AC438" s="364">
        <f t="shared" si="298"/>
        <v>235199.99999999997</v>
      </c>
      <c r="AD438" s="364">
        <f t="shared" si="298"/>
        <v>117599.99999999999</v>
      </c>
      <c r="AE438" s="364">
        <f t="shared" si="298"/>
        <v>235199.99999999997</v>
      </c>
      <c r="AF438" s="364">
        <f t="shared" si="298"/>
        <v>235199.99999999997</v>
      </c>
      <c r="AG438" s="365">
        <f t="shared" si="298"/>
        <v>235199.99999999997</v>
      </c>
      <c r="AH438" s="363">
        <f t="shared" si="275"/>
        <v>125999.99999999999</v>
      </c>
      <c r="AI438" s="363">
        <f t="shared" si="275"/>
        <v>251999.99999999997</v>
      </c>
      <c r="AJ438" s="373">
        <f t="shared" si="275"/>
        <v>42000</v>
      </c>
      <c r="AK438" s="366">
        <f t="shared" si="298"/>
        <v>117599.99999999999</v>
      </c>
      <c r="AL438" s="364">
        <f t="shared" si="298"/>
        <v>117599.99999999999</v>
      </c>
      <c r="AM438" s="363">
        <f t="shared" si="298"/>
        <v>105000</v>
      </c>
      <c r="AN438" s="363">
        <f t="shared" si="298"/>
        <v>42000</v>
      </c>
      <c r="AO438" s="364">
        <f t="shared" si="298"/>
        <v>352800</v>
      </c>
      <c r="AP438" s="364">
        <f t="shared" si="298"/>
        <v>235199.99999999997</v>
      </c>
      <c r="AQ438" s="364">
        <f t="shared" si="298"/>
        <v>117599.99999999999</v>
      </c>
    </row>
    <row r="439" spans="1:43" ht="14.25" x14ac:dyDescent="0.15">
      <c r="A439" s="343"/>
      <c r="B439" s="105" t="s">
        <v>77</v>
      </c>
      <c r="C439" s="309">
        <f t="shared" si="286"/>
        <v>672000</v>
      </c>
      <c r="D439" s="309">
        <f t="shared" si="286"/>
        <v>352800</v>
      </c>
      <c r="E439" s="309">
        <f t="shared" si="286"/>
        <v>352800</v>
      </c>
      <c r="F439" s="309">
        <f t="shared" si="286"/>
        <v>352800</v>
      </c>
      <c r="G439" s="309">
        <f t="shared" si="286"/>
        <v>352800</v>
      </c>
      <c r="H439" s="317">
        <f t="shared" ref="H439" si="299">+H27*0.7</f>
        <v>461999.99999999994</v>
      </c>
      <c r="I439" s="317">
        <f t="shared" si="286"/>
        <v>554400</v>
      </c>
      <c r="J439" s="42" t="s">
        <v>1183</v>
      </c>
      <c r="K439" s="309"/>
      <c r="L439" s="309">
        <f t="shared" si="269"/>
        <v>503999.99999999994</v>
      </c>
      <c r="M439" s="316">
        <f t="shared" si="270"/>
        <v>604800</v>
      </c>
      <c r="N439" s="316">
        <f t="shared" ref="N439:P439" si="300">+N27*0.7</f>
        <v>725760</v>
      </c>
      <c r="O439" s="316">
        <f t="shared" si="300"/>
        <v>725760</v>
      </c>
      <c r="P439" s="316">
        <f t="shared" si="300"/>
        <v>846720</v>
      </c>
      <c r="Q439" s="316">
        <f t="shared" si="270"/>
        <v>60479.999999999993</v>
      </c>
      <c r="R439" s="107"/>
      <c r="S439" s="319">
        <f>+S23*0.7</f>
        <v>17500</v>
      </c>
      <c r="T439" s="321">
        <f t="shared" si="272"/>
        <v>42000</v>
      </c>
      <c r="U439" s="321"/>
      <c r="V439" s="321">
        <f t="shared" si="273"/>
        <v>2100</v>
      </c>
      <c r="W439" s="320"/>
      <c r="X439" s="322">
        <f t="shared" ref="X439:AQ439" si="301">+X27*0.7</f>
        <v>1400</v>
      </c>
      <c r="Y439" s="322">
        <f t="shared" si="301"/>
        <v>1400</v>
      </c>
      <c r="Z439" s="363">
        <f t="shared" si="301"/>
        <v>67200</v>
      </c>
      <c r="AA439" s="364">
        <f t="shared" si="301"/>
        <v>268800</v>
      </c>
      <c r="AB439" s="364">
        <f t="shared" si="301"/>
        <v>134400</v>
      </c>
      <c r="AC439" s="364">
        <f t="shared" si="301"/>
        <v>268800</v>
      </c>
      <c r="AD439" s="364">
        <f t="shared" si="301"/>
        <v>134400</v>
      </c>
      <c r="AE439" s="364">
        <f t="shared" si="301"/>
        <v>268800</v>
      </c>
      <c r="AF439" s="364">
        <f t="shared" si="301"/>
        <v>268800</v>
      </c>
      <c r="AG439" s="365">
        <f t="shared" si="301"/>
        <v>268800</v>
      </c>
      <c r="AH439" s="371">
        <f t="shared" si="275"/>
        <v>125999.99999999999</v>
      </c>
      <c r="AI439" s="371">
        <f t="shared" si="275"/>
        <v>251999.99999999997</v>
      </c>
      <c r="AJ439" s="372">
        <f t="shared" si="275"/>
        <v>42000</v>
      </c>
      <c r="AK439" s="366">
        <f t="shared" si="301"/>
        <v>134400</v>
      </c>
      <c r="AL439" s="364">
        <f t="shared" si="301"/>
        <v>134400</v>
      </c>
      <c r="AM439" s="363">
        <f t="shared" si="301"/>
        <v>105000</v>
      </c>
      <c r="AN439" s="363">
        <f t="shared" si="301"/>
        <v>42000</v>
      </c>
      <c r="AO439" s="364">
        <f t="shared" si="301"/>
        <v>403200</v>
      </c>
      <c r="AP439" s="364">
        <f t="shared" si="301"/>
        <v>268800</v>
      </c>
      <c r="AQ439" s="364">
        <f t="shared" si="301"/>
        <v>134400</v>
      </c>
    </row>
    <row r="440" spans="1:43" ht="14.25" x14ac:dyDescent="0.15">
      <c r="A440" s="343"/>
      <c r="B440" s="105" t="s">
        <v>78</v>
      </c>
      <c r="C440" s="309">
        <f t="shared" si="286"/>
        <v>756000</v>
      </c>
      <c r="D440" s="309">
        <f t="shared" si="286"/>
        <v>403200</v>
      </c>
      <c r="E440" s="309">
        <f t="shared" si="286"/>
        <v>403200</v>
      </c>
      <c r="F440" s="309">
        <f t="shared" si="286"/>
        <v>403200</v>
      </c>
      <c r="G440" s="309">
        <f t="shared" si="286"/>
        <v>403200</v>
      </c>
      <c r="H440" s="317">
        <f t="shared" ref="H440" si="302">+H28*0.7</f>
        <v>517299.99999999994</v>
      </c>
      <c r="I440" s="317">
        <f t="shared" si="286"/>
        <v>620760</v>
      </c>
      <c r="J440" s="42" t="s">
        <v>1183</v>
      </c>
      <c r="K440" s="309"/>
      <c r="L440" s="309">
        <f t="shared" si="269"/>
        <v>588000</v>
      </c>
      <c r="M440" s="316">
        <f t="shared" si="270"/>
        <v>705600</v>
      </c>
      <c r="N440" s="316">
        <f t="shared" ref="N440:P440" si="303">+N28*0.7</f>
        <v>846720</v>
      </c>
      <c r="O440" s="316">
        <f t="shared" si="303"/>
        <v>846720</v>
      </c>
      <c r="P440" s="316">
        <f t="shared" si="303"/>
        <v>987839.99999999988</v>
      </c>
      <c r="Q440" s="316">
        <f t="shared" si="270"/>
        <v>70560</v>
      </c>
      <c r="R440" s="107"/>
      <c r="S440" s="319">
        <f>+S24*0.7</f>
        <v>17500</v>
      </c>
      <c r="T440" s="321">
        <f t="shared" si="272"/>
        <v>42000</v>
      </c>
      <c r="U440" s="321"/>
      <c r="V440" s="321">
        <f t="shared" si="273"/>
        <v>2100</v>
      </c>
      <c r="W440" s="320"/>
      <c r="X440" s="322">
        <f t="shared" ref="X440:AQ440" si="304">+X28*0.7</f>
        <v>1400</v>
      </c>
      <c r="Y440" s="322">
        <f t="shared" si="304"/>
        <v>1400</v>
      </c>
      <c r="Z440" s="363">
        <f t="shared" si="304"/>
        <v>75600</v>
      </c>
      <c r="AA440" s="364">
        <f t="shared" si="304"/>
        <v>302400</v>
      </c>
      <c r="AB440" s="364">
        <f t="shared" si="304"/>
        <v>151200</v>
      </c>
      <c r="AC440" s="364">
        <f t="shared" si="304"/>
        <v>302400</v>
      </c>
      <c r="AD440" s="364">
        <f t="shared" si="304"/>
        <v>151200</v>
      </c>
      <c r="AE440" s="364">
        <f t="shared" si="304"/>
        <v>302400</v>
      </c>
      <c r="AF440" s="364">
        <f t="shared" si="304"/>
        <v>302400</v>
      </c>
      <c r="AG440" s="365">
        <f t="shared" si="304"/>
        <v>302400</v>
      </c>
      <c r="AH440" s="363">
        <f t="shared" si="275"/>
        <v>125999.99999999999</v>
      </c>
      <c r="AI440" s="363">
        <f t="shared" si="275"/>
        <v>251999.99999999997</v>
      </c>
      <c r="AJ440" s="373">
        <f t="shared" si="275"/>
        <v>42000</v>
      </c>
      <c r="AK440" s="366">
        <f t="shared" si="304"/>
        <v>151200</v>
      </c>
      <c r="AL440" s="364">
        <f t="shared" si="304"/>
        <v>151200</v>
      </c>
      <c r="AM440" s="363">
        <f t="shared" si="304"/>
        <v>105000</v>
      </c>
      <c r="AN440" s="363">
        <f t="shared" si="304"/>
        <v>42000</v>
      </c>
      <c r="AO440" s="364">
        <f t="shared" si="304"/>
        <v>453600</v>
      </c>
      <c r="AP440" s="364">
        <f t="shared" si="304"/>
        <v>302400</v>
      </c>
      <c r="AQ440" s="364">
        <f t="shared" si="304"/>
        <v>151200</v>
      </c>
    </row>
    <row r="441" spans="1:43" ht="14.25" x14ac:dyDescent="0.15">
      <c r="A441" s="343"/>
      <c r="B441" s="105" t="s">
        <v>79</v>
      </c>
      <c r="C441" s="309">
        <f t="shared" si="286"/>
        <v>840000</v>
      </c>
      <c r="D441" s="309">
        <f t="shared" si="286"/>
        <v>461999.99999999994</v>
      </c>
      <c r="E441" s="309">
        <f t="shared" si="286"/>
        <v>461999.99999999994</v>
      </c>
      <c r="F441" s="309">
        <f t="shared" si="286"/>
        <v>461999.99999999994</v>
      </c>
      <c r="G441" s="309">
        <f t="shared" si="286"/>
        <v>461999.99999999994</v>
      </c>
      <c r="H441" s="317">
        <f t="shared" ref="H441" si="305">+H29*0.7</f>
        <v>572600</v>
      </c>
      <c r="I441" s="317">
        <f t="shared" si="286"/>
        <v>687120</v>
      </c>
      <c r="J441" s="42" t="s">
        <v>1183</v>
      </c>
      <c r="K441" s="309"/>
      <c r="L441" s="309">
        <f t="shared" si="269"/>
        <v>672000</v>
      </c>
      <c r="M441" s="316">
        <f t="shared" si="270"/>
        <v>806400</v>
      </c>
      <c r="N441" s="316">
        <f t="shared" ref="N441:P441" si="306">+N29*0.7</f>
        <v>967679.99999999988</v>
      </c>
      <c r="O441" s="316">
        <f t="shared" si="306"/>
        <v>967679.99999999988</v>
      </c>
      <c r="P441" s="316">
        <f t="shared" si="306"/>
        <v>1128960</v>
      </c>
      <c r="Q441" s="316">
        <f t="shared" si="270"/>
        <v>80640</v>
      </c>
      <c r="R441" s="107"/>
      <c r="S441" s="319">
        <f>+S25*0.7</f>
        <v>17500</v>
      </c>
      <c r="T441" s="321">
        <f t="shared" si="272"/>
        <v>42000</v>
      </c>
      <c r="U441" s="321"/>
      <c r="V441" s="321">
        <f t="shared" si="273"/>
        <v>2100</v>
      </c>
      <c r="W441" s="320"/>
      <c r="X441" s="322">
        <f t="shared" ref="X441:AQ441" si="307">+X29*0.7</f>
        <v>1400</v>
      </c>
      <c r="Y441" s="322">
        <f t="shared" si="307"/>
        <v>1400</v>
      </c>
      <c r="Z441" s="363">
        <f t="shared" si="307"/>
        <v>84000</v>
      </c>
      <c r="AA441" s="364">
        <f t="shared" si="307"/>
        <v>336000</v>
      </c>
      <c r="AB441" s="364">
        <f t="shared" si="307"/>
        <v>168000</v>
      </c>
      <c r="AC441" s="364">
        <f t="shared" si="307"/>
        <v>336000</v>
      </c>
      <c r="AD441" s="364">
        <f t="shared" si="307"/>
        <v>168000</v>
      </c>
      <c r="AE441" s="364">
        <f t="shared" si="307"/>
        <v>336000</v>
      </c>
      <c r="AF441" s="364">
        <f t="shared" si="307"/>
        <v>336000</v>
      </c>
      <c r="AG441" s="365">
        <f t="shared" si="307"/>
        <v>336000</v>
      </c>
      <c r="AH441" s="371">
        <f t="shared" si="275"/>
        <v>125999.99999999999</v>
      </c>
      <c r="AI441" s="371">
        <f t="shared" si="275"/>
        <v>251999.99999999997</v>
      </c>
      <c r="AJ441" s="372">
        <f t="shared" si="275"/>
        <v>42000</v>
      </c>
      <c r="AK441" s="366">
        <f t="shared" si="307"/>
        <v>168000</v>
      </c>
      <c r="AL441" s="364">
        <f t="shared" si="307"/>
        <v>168000</v>
      </c>
      <c r="AM441" s="363">
        <f t="shared" si="307"/>
        <v>105000</v>
      </c>
      <c r="AN441" s="363">
        <f t="shared" si="307"/>
        <v>42000</v>
      </c>
      <c r="AO441" s="364">
        <f t="shared" si="307"/>
        <v>503999.99999999994</v>
      </c>
      <c r="AP441" s="364">
        <f t="shared" si="307"/>
        <v>336000</v>
      </c>
      <c r="AQ441" s="364">
        <f t="shared" si="307"/>
        <v>168000</v>
      </c>
    </row>
    <row r="442" spans="1:43" ht="14.25" x14ac:dyDescent="0.15">
      <c r="A442" s="343"/>
      <c r="B442" s="105" t="s">
        <v>939</v>
      </c>
      <c r="C442" s="309">
        <f t="shared" si="286"/>
        <v>1176000</v>
      </c>
      <c r="D442" s="309">
        <f t="shared" si="286"/>
        <v>646800</v>
      </c>
      <c r="E442" s="309">
        <f t="shared" si="286"/>
        <v>646800</v>
      </c>
      <c r="F442" s="309">
        <f t="shared" si="286"/>
        <v>646800</v>
      </c>
      <c r="G442" s="309">
        <f t="shared" si="286"/>
        <v>646800</v>
      </c>
      <c r="H442" s="317">
        <f t="shared" ref="H442" si="308">+H30*0.7</f>
        <v>739200</v>
      </c>
      <c r="I442" s="317">
        <f t="shared" si="286"/>
        <v>887040</v>
      </c>
      <c r="J442" s="42" t="s">
        <v>1183</v>
      </c>
      <c r="K442" s="309"/>
      <c r="L442" s="309">
        <f t="shared" si="269"/>
        <v>756000</v>
      </c>
      <c r="M442" s="316">
        <f t="shared" si="270"/>
        <v>907200</v>
      </c>
      <c r="N442" s="316">
        <f t="shared" ref="N442:P442" si="309">+N30*0.7</f>
        <v>1088640</v>
      </c>
      <c r="O442" s="316">
        <f t="shared" si="309"/>
        <v>1088640</v>
      </c>
      <c r="P442" s="316">
        <f t="shared" si="309"/>
        <v>1270080</v>
      </c>
      <c r="Q442" s="316">
        <f t="shared" si="270"/>
        <v>90720</v>
      </c>
      <c r="R442" s="107"/>
      <c r="S442" s="319">
        <f>+S27*0.7</f>
        <v>17500</v>
      </c>
      <c r="T442" s="321">
        <f t="shared" si="272"/>
        <v>42000</v>
      </c>
      <c r="U442" s="321"/>
      <c r="V442" s="321">
        <f t="shared" si="273"/>
        <v>2100</v>
      </c>
      <c r="W442" s="320"/>
      <c r="X442" s="322">
        <f t="shared" ref="X442:AQ442" si="310">+X30*0.7</f>
        <v>1400</v>
      </c>
      <c r="Y442" s="322">
        <f t="shared" si="310"/>
        <v>1400</v>
      </c>
      <c r="Z442" s="363">
        <f t="shared" si="310"/>
        <v>117599.99999999999</v>
      </c>
      <c r="AA442" s="364">
        <f t="shared" si="310"/>
        <v>470399.99999999994</v>
      </c>
      <c r="AB442" s="364">
        <f t="shared" si="310"/>
        <v>235199.99999999997</v>
      </c>
      <c r="AC442" s="364">
        <f t="shared" si="310"/>
        <v>470399.99999999994</v>
      </c>
      <c r="AD442" s="364">
        <f t="shared" si="310"/>
        <v>235199.99999999997</v>
      </c>
      <c r="AE442" s="364">
        <f t="shared" si="310"/>
        <v>470399.99999999994</v>
      </c>
      <c r="AF442" s="364">
        <f t="shared" si="310"/>
        <v>470399.99999999994</v>
      </c>
      <c r="AG442" s="365">
        <f t="shared" si="310"/>
        <v>470399.99999999994</v>
      </c>
      <c r="AH442" s="363">
        <f t="shared" si="275"/>
        <v>125999.99999999999</v>
      </c>
      <c r="AI442" s="363">
        <f t="shared" si="275"/>
        <v>251999.99999999997</v>
      </c>
      <c r="AJ442" s="373">
        <f t="shared" si="275"/>
        <v>42000</v>
      </c>
      <c r="AK442" s="366">
        <f t="shared" si="310"/>
        <v>235199.99999999997</v>
      </c>
      <c r="AL442" s="364">
        <f t="shared" si="310"/>
        <v>235199.99999999997</v>
      </c>
      <c r="AM442" s="363">
        <f t="shared" si="310"/>
        <v>105000</v>
      </c>
      <c r="AN442" s="363">
        <f t="shared" si="310"/>
        <v>42000</v>
      </c>
      <c r="AO442" s="364">
        <f t="shared" si="310"/>
        <v>705600</v>
      </c>
      <c r="AP442" s="364">
        <f t="shared" si="310"/>
        <v>470399.99999999994</v>
      </c>
      <c r="AQ442" s="364">
        <f t="shared" si="310"/>
        <v>235199.99999999997</v>
      </c>
    </row>
    <row r="443" spans="1:43" ht="14.25" x14ac:dyDescent="0.15">
      <c r="A443" s="343"/>
      <c r="B443" s="105" t="s">
        <v>940</v>
      </c>
      <c r="C443" s="309">
        <f t="shared" si="286"/>
        <v>1176000</v>
      </c>
      <c r="D443" s="309">
        <f t="shared" si="286"/>
        <v>646800</v>
      </c>
      <c r="E443" s="309">
        <f t="shared" si="286"/>
        <v>646800</v>
      </c>
      <c r="F443" s="309">
        <f t="shared" si="286"/>
        <v>646800</v>
      </c>
      <c r="G443" s="309">
        <f t="shared" si="286"/>
        <v>646800</v>
      </c>
      <c r="H443" s="317">
        <f t="shared" ref="H443" si="311">+H31*0.7</f>
        <v>739200</v>
      </c>
      <c r="I443" s="317">
        <f t="shared" si="286"/>
        <v>887040</v>
      </c>
      <c r="J443" s="42" t="s">
        <v>1183</v>
      </c>
      <c r="K443" s="309"/>
      <c r="L443" s="309">
        <f t="shared" si="269"/>
        <v>756000</v>
      </c>
      <c r="M443" s="316">
        <f t="shared" si="270"/>
        <v>907200</v>
      </c>
      <c r="N443" s="316">
        <f t="shared" ref="N443:P443" si="312">+N31*0.7</f>
        <v>1088640</v>
      </c>
      <c r="O443" s="316">
        <f t="shared" si="312"/>
        <v>1088640</v>
      </c>
      <c r="P443" s="316">
        <f t="shared" si="312"/>
        <v>1270080</v>
      </c>
      <c r="Q443" s="316">
        <f t="shared" si="270"/>
        <v>90720</v>
      </c>
      <c r="R443" s="107"/>
      <c r="S443" s="319">
        <f>+S28*0.7</f>
        <v>17500</v>
      </c>
      <c r="T443" s="321">
        <f t="shared" si="272"/>
        <v>42000</v>
      </c>
      <c r="U443" s="321"/>
      <c r="V443" s="321">
        <f t="shared" si="273"/>
        <v>2100</v>
      </c>
      <c r="W443" s="320"/>
      <c r="X443" s="322">
        <f t="shared" ref="X443:AQ443" si="313">+X31*0.7</f>
        <v>1400</v>
      </c>
      <c r="Y443" s="322">
        <f t="shared" si="313"/>
        <v>1400</v>
      </c>
      <c r="Z443" s="363">
        <f t="shared" si="313"/>
        <v>117599.99999999999</v>
      </c>
      <c r="AA443" s="364">
        <f t="shared" si="313"/>
        <v>470399.99999999994</v>
      </c>
      <c r="AB443" s="364">
        <f t="shared" si="313"/>
        <v>235199.99999999997</v>
      </c>
      <c r="AC443" s="364">
        <f t="shared" si="313"/>
        <v>470399.99999999994</v>
      </c>
      <c r="AD443" s="364">
        <f t="shared" si="313"/>
        <v>235199.99999999997</v>
      </c>
      <c r="AE443" s="364">
        <f t="shared" si="313"/>
        <v>470399.99999999994</v>
      </c>
      <c r="AF443" s="364">
        <f t="shared" si="313"/>
        <v>470399.99999999994</v>
      </c>
      <c r="AG443" s="365">
        <f t="shared" si="313"/>
        <v>470399.99999999994</v>
      </c>
      <c r="AH443" s="363">
        <f t="shared" si="275"/>
        <v>125999.99999999999</v>
      </c>
      <c r="AI443" s="363">
        <f t="shared" si="275"/>
        <v>251999.99999999997</v>
      </c>
      <c r="AJ443" s="373">
        <f t="shared" si="275"/>
        <v>42000</v>
      </c>
      <c r="AK443" s="366">
        <f t="shared" si="313"/>
        <v>235199.99999999997</v>
      </c>
      <c r="AL443" s="364">
        <f t="shared" si="313"/>
        <v>235199.99999999997</v>
      </c>
      <c r="AM443" s="363">
        <f t="shared" si="313"/>
        <v>105000</v>
      </c>
      <c r="AN443" s="363">
        <f t="shared" si="313"/>
        <v>42000</v>
      </c>
      <c r="AO443" s="364">
        <f t="shared" si="313"/>
        <v>705600</v>
      </c>
      <c r="AP443" s="364">
        <f t="shared" si="313"/>
        <v>470399.99999999994</v>
      </c>
      <c r="AQ443" s="364">
        <f t="shared" si="313"/>
        <v>235199.99999999997</v>
      </c>
    </row>
    <row r="444" spans="1:43" ht="14.25" x14ac:dyDescent="0.15">
      <c r="A444" s="343"/>
      <c r="B444" s="105" t="s">
        <v>80</v>
      </c>
      <c r="C444" s="309">
        <f t="shared" ref="C444:E445" si="314">+C32*0.7</f>
        <v>1512000</v>
      </c>
      <c r="D444" s="309">
        <f t="shared" si="314"/>
        <v>798000</v>
      </c>
      <c r="E444" s="309">
        <f t="shared" si="314"/>
        <v>798000</v>
      </c>
      <c r="F444" s="309">
        <f t="shared" ref="F444:G444" si="315">+F32*0.7</f>
        <v>798000</v>
      </c>
      <c r="G444" s="309">
        <f t="shared" si="315"/>
        <v>798000</v>
      </c>
      <c r="H444" s="317">
        <f t="shared" ref="H444:I444" si="316">+H32*0.7</f>
        <v>1016399.9999999999</v>
      </c>
      <c r="I444" s="317">
        <f t="shared" si="316"/>
        <v>1219680</v>
      </c>
      <c r="J444" s="42" t="s">
        <v>1183</v>
      </c>
      <c r="K444" s="309"/>
      <c r="L444" s="309">
        <f t="shared" ref="L444:Q444" si="317">+L32*0.7</f>
        <v>1092000</v>
      </c>
      <c r="M444" s="316">
        <f t="shared" ref="M444:P444" si="318">+M32*0.7</f>
        <v>1310400</v>
      </c>
      <c r="N444" s="316">
        <f t="shared" si="318"/>
        <v>1572480</v>
      </c>
      <c r="O444" s="316">
        <f t="shared" si="318"/>
        <v>1572480</v>
      </c>
      <c r="P444" s="316">
        <f t="shared" si="318"/>
        <v>1834560</v>
      </c>
      <c r="Q444" s="316">
        <f t="shared" si="317"/>
        <v>131039.99999999999</v>
      </c>
      <c r="R444" s="107"/>
      <c r="S444" s="319">
        <f>+S28*0.7</f>
        <v>17500</v>
      </c>
      <c r="T444" s="321">
        <f t="shared" ref="T444:V444" si="319">+T32*0.7</f>
        <v>42000</v>
      </c>
      <c r="U444" s="321"/>
      <c r="V444" s="321">
        <f t="shared" si="319"/>
        <v>2100</v>
      </c>
      <c r="W444" s="320"/>
      <c r="X444" s="322">
        <f t="shared" ref="X444:Y444" si="320">+X32*0.7</f>
        <v>1400</v>
      </c>
      <c r="Y444" s="322">
        <f t="shared" si="320"/>
        <v>1400</v>
      </c>
      <c r="Z444" s="363">
        <f t="shared" ref="Z444:AQ444" si="321">+Z32*0.7</f>
        <v>151200</v>
      </c>
      <c r="AA444" s="364">
        <f t="shared" si="321"/>
        <v>604800</v>
      </c>
      <c r="AB444" s="364">
        <f t="shared" si="321"/>
        <v>302400</v>
      </c>
      <c r="AC444" s="364">
        <f t="shared" si="321"/>
        <v>604800</v>
      </c>
      <c r="AD444" s="364">
        <f t="shared" si="321"/>
        <v>302400</v>
      </c>
      <c r="AE444" s="364">
        <f t="shared" si="321"/>
        <v>604800</v>
      </c>
      <c r="AF444" s="364">
        <f t="shared" si="321"/>
        <v>604800</v>
      </c>
      <c r="AG444" s="365">
        <f t="shared" si="321"/>
        <v>604800</v>
      </c>
      <c r="AH444" s="371">
        <f t="shared" si="275"/>
        <v>125999.99999999999</v>
      </c>
      <c r="AI444" s="371">
        <f t="shared" si="275"/>
        <v>251999.99999999997</v>
      </c>
      <c r="AJ444" s="372">
        <f t="shared" si="275"/>
        <v>42000</v>
      </c>
      <c r="AK444" s="366">
        <f t="shared" si="321"/>
        <v>302400</v>
      </c>
      <c r="AL444" s="364">
        <f t="shared" si="321"/>
        <v>302400</v>
      </c>
      <c r="AM444" s="363">
        <f t="shared" si="321"/>
        <v>105000</v>
      </c>
      <c r="AN444" s="363">
        <f t="shared" si="321"/>
        <v>42000</v>
      </c>
      <c r="AO444" s="364">
        <f t="shared" si="321"/>
        <v>907200</v>
      </c>
      <c r="AP444" s="364">
        <f t="shared" si="321"/>
        <v>604800</v>
      </c>
      <c r="AQ444" s="364">
        <f t="shared" si="321"/>
        <v>302400</v>
      </c>
    </row>
    <row r="445" spans="1:43" ht="14.25" x14ac:dyDescent="0.15">
      <c r="A445" s="676"/>
      <c r="B445" s="105" t="s">
        <v>81</v>
      </c>
      <c r="C445" s="309">
        <f t="shared" si="314"/>
        <v>2015999.9999999998</v>
      </c>
      <c r="D445" s="309">
        <f t="shared" si="314"/>
        <v>965999.99999999988</v>
      </c>
      <c r="E445" s="309">
        <f t="shared" si="314"/>
        <v>965999.99999999988</v>
      </c>
      <c r="F445" s="309">
        <f t="shared" ref="F445:G445" si="322">+F33*0.7</f>
        <v>965999.99999999988</v>
      </c>
      <c r="G445" s="309">
        <f t="shared" si="322"/>
        <v>965999.99999999988</v>
      </c>
      <c r="H445" s="317">
        <f t="shared" ref="H445:I445" si="323">+H33*0.7</f>
        <v>1247400</v>
      </c>
      <c r="I445" s="317">
        <f t="shared" si="323"/>
        <v>1496880</v>
      </c>
      <c r="J445" s="42" t="s">
        <v>1183</v>
      </c>
      <c r="K445" s="309"/>
      <c r="L445" s="309">
        <f t="shared" ref="L445:Q445" si="324">+L33*0.7</f>
        <v>1260000</v>
      </c>
      <c r="M445" s="316">
        <f t="shared" ref="M445:P445" si="325">+M33*0.7</f>
        <v>1512000</v>
      </c>
      <c r="N445" s="316">
        <f t="shared" si="325"/>
        <v>1814400</v>
      </c>
      <c r="O445" s="316">
        <f t="shared" si="325"/>
        <v>1814400</v>
      </c>
      <c r="P445" s="316">
        <f t="shared" si="325"/>
        <v>2116800</v>
      </c>
      <c r="Q445" s="316">
        <f t="shared" si="324"/>
        <v>151200</v>
      </c>
      <c r="R445" s="107"/>
      <c r="S445" s="319">
        <f>+S29*0.7</f>
        <v>17500</v>
      </c>
      <c r="T445" s="321">
        <f t="shared" ref="T445:V445" si="326">+T33*0.7</f>
        <v>42000</v>
      </c>
      <c r="U445" s="321"/>
      <c r="V445" s="321">
        <f t="shared" si="326"/>
        <v>2100</v>
      </c>
      <c r="W445" s="320"/>
      <c r="X445" s="322">
        <f t="shared" ref="X445:Y445" si="327">+X33*0.7</f>
        <v>1400</v>
      </c>
      <c r="Y445" s="322">
        <f t="shared" si="327"/>
        <v>1400</v>
      </c>
      <c r="Z445" s="363">
        <f t="shared" ref="Z445:AQ445" si="328">+Z33*0.7</f>
        <v>201600</v>
      </c>
      <c r="AA445" s="364">
        <f t="shared" si="328"/>
        <v>806400</v>
      </c>
      <c r="AB445" s="364">
        <f t="shared" si="328"/>
        <v>403200</v>
      </c>
      <c r="AC445" s="364">
        <f t="shared" si="328"/>
        <v>806400</v>
      </c>
      <c r="AD445" s="364">
        <f t="shared" si="328"/>
        <v>403200</v>
      </c>
      <c r="AE445" s="364">
        <f t="shared" si="328"/>
        <v>806400</v>
      </c>
      <c r="AF445" s="364">
        <f t="shared" si="328"/>
        <v>806400</v>
      </c>
      <c r="AG445" s="365">
        <f t="shared" si="328"/>
        <v>806400</v>
      </c>
      <c r="AH445" s="363">
        <f t="shared" si="275"/>
        <v>125999.99999999999</v>
      </c>
      <c r="AI445" s="363">
        <f t="shared" si="275"/>
        <v>251999.99999999997</v>
      </c>
      <c r="AJ445" s="373">
        <f t="shared" si="275"/>
        <v>42000</v>
      </c>
      <c r="AK445" s="366">
        <f t="shared" si="328"/>
        <v>403200</v>
      </c>
      <c r="AL445" s="364">
        <f t="shared" si="328"/>
        <v>403200</v>
      </c>
      <c r="AM445" s="363">
        <f t="shared" si="328"/>
        <v>105000</v>
      </c>
      <c r="AN445" s="363">
        <f t="shared" si="328"/>
        <v>42000</v>
      </c>
      <c r="AO445" s="364">
        <f t="shared" si="328"/>
        <v>1209600</v>
      </c>
      <c r="AP445" s="364">
        <f t="shared" si="328"/>
        <v>806400</v>
      </c>
      <c r="AQ445" s="364">
        <f t="shared" si="328"/>
        <v>403200</v>
      </c>
    </row>
    <row r="446" spans="1:43" ht="15.75" x14ac:dyDescent="0.15">
      <c r="A446" s="97"/>
      <c r="B446" s="97"/>
      <c r="C446" s="97"/>
      <c r="D446" s="97"/>
      <c r="E446" s="97"/>
      <c r="F446" s="97"/>
      <c r="G446" s="97"/>
      <c r="H446" s="97"/>
      <c r="I446" s="97"/>
      <c r="J446" s="97"/>
      <c r="K446" s="97"/>
      <c r="L446" s="97"/>
      <c r="M446" s="97"/>
      <c r="N446" s="97"/>
      <c r="O446" s="97"/>
      <c r="P446" s="97"/>
      <c r="Q446" s="97"/>
      <c r="R446" s="97"/>
      <c r="S446" s="97"/>
      <c r="T446" s="97"/>
      <c r="U446" s="97"/>
      <c r="V446" s="97"/>
      <c r="W446" s="97"/>
      <c r="X446" s="97"/>
      <c r="Y446" s="97"/>
      <c r="Z446" s="97"/>
      <c r="AA446" s="97"/>
    </row>
    <row r="447" spans="1:43" ht="15.75" x14ac:dyDescent="0.15">
      <c r="A447" s="97"/>
      <c r="B447" s="97"/>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row>
    <row r="448" spans="1:43" ht="15.75" x14ac:dyDescent="0.15">
      <c r="A448" s="97"/>
      <c r="B448" s="97"/>
      <c r="C448" s="97"/>
      <c r="D448" s="97"/>
      <c r="E448" s="97"/>
      <c r="F448" s="97"/>
      <c r="G448" s="97"/>
      <c r="H448" s="97"/>
      <c r="I448" s="97"/>
      <c r="J448" s="97"/>
      <c r="K448" s="97"/>
      <c r="L448" s="97"/>
      <c r="M448" s="97"/>
      <c r="N448" s="97"/>
      <c r="O448" s="97"/>
      <c r="P448" s="97"/>
      <c r="Q448" s="97"/>
      <c r="R448" s="97"/>
      <c r="S448" s="97"/>
      <c r="T448" s="97"/>
      <c r="U448" s="97"/>
      <c r="V448" s="97"/>
      <c r="W448" s="97"/>
      <c r="X448" s="97"/>
      <c r="Y448" s="97"/>
      <c r="Z448" s="97"/>
      <c r="AA448" s="97"/>
    </row>
    <row r="449" spans="1:27" ht="15.75" x14ac:dyDescent="0.15">
      <c r="A449" s="97"/>
      <c r="B449" s="97"/>
      <c r="C449" s="97"/>
      <c r="D449" s="97"/>
      <c r="E449" s="97"/>
      <c r="F449" s="97"/>
      <c r="G449" s="97"/>
      <c r="H449" s="97"/>
      <c r="I449" s="97"/>
      <c r="J449" s="97"/>
      <c r="K449" s="97"/>
      <c r="L449" s="97"/>
      <c r="M449" s="97"/>
      <c r="N449" s="97"/>
      <c r="O449" s="97"/>
      <c r="P449" s="97"/>
      <c r="Q449" s="97"/>
      <c r="R449" s="97"/>
      <c r="S449" s="97"/>
      <c r="T449" s="97"/>
      <c r="U449" s="97"/>
      <c r="V449" s="97"/>
      <c r="W449" s="97"/>
      <c r="X449" s="97"/>
      <c r="Y449" s="97"/>
      <c r="Z449" s="97"/>
      <c r="AA449" s="97"/>
    </row>
    <row r="450" spans="1:27" ht="15.75" x14ac:dyDescent="0.15">
      <c r="A450" s="97"/>
      <c r="B450" s="97"/>
      <c r="C450" s="97"/>
      <c r="D450" s="97"/>
      <c r="E450" s="97"/>
      <c r="F450" s="97"/>
      <c r="G450" s="97"/>
      <c r="H450" s="97"/>
      <c r="I450" s="97"/>
      <c r="J450" s="97"/>
      <c r="K450" s="97"/>
      <c r="L450" s="97"/>
      <c r="M450" s="97"/>
      <c r="N450" s="97"/>
      <c r="O450" s="97"/>
      <c r="P450" s="97"/>
      <c r="Q450" s="97"/>
      <c r="R450" s="97"/>
      <c r="S450" s="97"/>
      <c r="T450" s="97"/>
      <c r="U450" s="97"/>
      <c r="V450" s="97"/>
      <c r="W450" s="97"/>
      <c r="X450" s="97"/>
      <c r="Y450" s="97"/>
      <c r="Z450" s="97"/>
      <c r="AA450" s="97"/>
    </row>
    <row r="451" spans="1:27" ht="15.75" x14ac:dyDescent="0.15">
      <c r="A451" s="97"/>
      <c r="B451" s="97"/>
      <c r="C451" s="97"/>
      <c r="D451" s="97"/>
      <c r="E451" s="97"/>
      <c r="F451" s="97"/>
      <c r="G451" s="97"/>
      <c r="H451" s="97"/>
      <c r="I451" s="97"/>
      <c r="J451" s="97"/>
      <c r="K451" s="97"/>
      <c r="L451" s="97"/>
      <c r="M451" s="97"/>
      <c r="N451" s="97"/>
      <c r="O451" s="97"/>
      <c r="P451" s="97"/>
      <c r="Q451" s="97"/>
      <c r="R451" s="97"/>
      <c r="S451" s="97"/>
      <c r="T451" s="97"/>
      <c r="U451" s="97"/>
      <c r="V451" s="97"/>
      <c r="W451" s="97"/>
      <c r="X451" s="97"/>
      <c r="Y451" s="97"/>
      <c r="Z451" s="97"/>
      <c r="AA451" s="97"/>
    </row>
    <row r="452" spans="1:27" ht="15.75" x14ac:dyDescent="0.15">
      <c r="A452" s="97"/>
      <c r="B452" s="97"/>
      <c r="C452" s="97"/>
      <c r="D452" s="97"/>
      <c r="E452" s="97"/>
      <c r="F452" s="97"/>
      <c r="G452" s="97"/>
      <c r="H452" s="97"/>
      <c r="I452" s="97"/>
      <c r="J452" s="97"/>
      <c r="K452" s="97"/>
      <c r="L452" s="97"/>
      <c r="M452" s="97"/>
      <c r="N452" s="97"/>
      <c r="O452" s="97"/>
      <c r="P452" s="97"/>
      <c r="Q452" s="97"/>
      <c r="R452" s="97"/>
      <c r="S452" s="97"/>
      <c r="T452" s="97"/>
      <c r="U452" s="97"/>
      <c r="V452" s="97"/>
      <c r="W452" s="97"/>
      <c r="X452" s="97"/>
      <c r="Y452" s="97"/>
      <c r="Z452" s="97"/>
      <c r="AA452" s="97"/>
    </row>
    <row r="453" spans="1:27" ht="15.75" x14ac:dyDescent="0.15">
      <c r="A453" s="97"/>
      <c r="B453" s="97"/>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7"/>
      <c r="AA453" s="97"/>
    </row>
    <row r="454" spans="1:27" ht="15.75" x14ac:dyDescent="0.15">
      <c r="A454" s="97"/>
      <c r="B454" s="97"/>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c r="AA454" s="97"/>
    </row>
    <row r="455" spans="1:27" ht="15.75" x14ac:dyDescent="0.15">
      <c r="A455" s="97"/>
      <c r="B455" s="97"/>
      <c r="C455" s="97"/>
      <c r="D455" s="97"/>
      <c r="E455" s="97"/>
      <c r="F455" s="97"/>
      <c r="G455" s="97"/>
      <c r="H455" s="97"/>
      <c r="I455" s="97"/>
      <c r="J455" s="97"/>
      <c r="K455" s="97"/>
      <c r="L455" s="97"/>
      <c r="M455" s="97"/>
      <c r="N455" s="97"/>
      <c r="O455" s="97"/>
      <c r="P455" s="97"/>
      <c r="Q455" s="97"/>
      <c r="R455" s="97"/>
      <c r="S455" s="97"/>
      <c r="T455" s="97"/>
      <c r="U455" s="97"/>
      <c r="V455" s="97"/>
      <c r="W455" s="97"/>
      <c r="X455" s="97"/>
      <c r="Y455" s="97"/>
      <c r="Z455" s="97"/>
      <c r="AA455" s="97"/>
    </row>
    <row r="456" spans="1:27" ht="15.75" x14ac:dyDescent="0.15">
      <c r="A456" s="97"/>
      <c r="B456" s="97"/>
      <c r="C456" s="97"/>
      <c r="D456" s="97"/>
      <c r="E456" s="97"/>
      <c r="F456" s="97"/>
      <c r="G456" s="97"/>
      <c r="H456" s="97"/>
      <c r="I456" s="97"/>
      <c r="J456" s="97"/>
      <c r="K456" s="97"/>
      <c r="L456" s="97"/>
      <c r="M456" s="97"/>
      <c r="N456" s="97"/>
      <c r="O456" s="97"/>
      <c r="P456" s="97"/>
      <c r="Q456" s="97"/>
      <c r="R456" s="97"/>
      <c r="S456" s="97"/>
      <c r="T456" s="97"/>
      <c r="U456" s="97"/>
      <c r="V456" s="97"/>
      <c r="W456" s="97"/>
      <c r="X456" s="97"/>
      <c r="Y456" s="97"/>
      <c r="Z456" s="97"/>
      <c r="AA456" s="97"/>
    </row>
    <row r="457" spans="1:27" ht="15.75" x14ac:dyDescent="0.15">
      <c r="A457" s="97"/>
      <c r="B457" s="97"/>
      <c r="C457" s="97"/>
      <c r="D457" s="97"/>
      <c r="E457" s="97"/>
      <c r="F457" s="97"/>
      <c r="G457" s="97"/>
      <c r="H457" s="97"/>
      <c r="I457" s="97"/>
      <c r="J457" s="97"/>
      <c r="K457" s="97"/>
      <c r="L457" s="97"/>
      <c r="M457" s="97"/>
      <c r="N457" s="97"/>
      <c r="O457" s="97"/>
      <c r="P457" s="97"/>
      <c r="Q457" s="97"/>
      <c r="R457" s="97"/>
      <c r="S457" s="97"/>
      <c r="T457" s="97"/>
      <c r="U457" s="97"/>
      <c r="V457" s="97"/>
      <c r="W457" s="97"/>
      <c r="X457" s="97"/>
      <c r="Y457" s="97"/>
      <c r="Z457" s="97"/>
      <c r="AA457" s="97"/>
    </row>
    <row r="458" spans="1:27" ht="15.75" x14ac:dyDescent="0.15">
      <c r="A458" s="97"/>
      <c r="B458" s="97"/>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c r="AA458" s="97"/>
    </row>
    <row r="459" spans="1:27" ht="15.75" x14ac:dyDescent="0.15">
      <c r="A459" s="97"/>
      <c r="B459" s="97"/>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c r="AA459" s="97"/>
    </row>
    <row r="460" spans="1:27" ht="15.75" x14ac:dyDescent="0.15">
      <c r="A460" s="97"/>
      <c r="B460" s="97"/>
      <c r="C460" s="97"/>
      <c r="D460" s="97"/>
      <c r="E460" s="97"/>
      <c r="F460" s="97"/>
      <c r="G460" s="97"/>
      <c r="H460" s="97"/>
      <c r="I460" s="97"/>
      <c r="J460" s="97"/>
      <c r="K460" s="97"/>
      <c r="L460" s="97"/>
      <c r="M460" s="97"/>
      <c r="N460" s="97"/>
      <c r="O460" s="97"/>
      <c r="P460" s="97"/>
      <c r="Q460" s="97"/>
      <c r="R460" s="97"/>
      <c r="S460" s="97"/>
      <c r="T460" s="97"/>
      <c r="U460" s="97"/>
      <c r="V460" s="97"/>
      <c r="W460" s="97"/>
      <c r="X460" s="97"/>
      <c r="Y460" s="97"/>
      <c r="Z460" s="97"/>
      <c r="AA460" s="97"/>
    </row>
    <row r="461" spans="1:27" ht="15.75" x14ac:dyDescent="0.15">
      <c r="A461" s="97"/>
      <c r="B461" s="97"/>
      <c r="C461" s="97"/>
      <c r="D461" s="97"/>
      <c r="E461" s="97"/>
      <c r="F461" s="97"/>
      <c r="G461" s="97"/>
      <c r="H461" s="97"/>
      <c r="I461" s="97"/>
      <c r="J461" s="97"/>
      <c r="K461" s="97"/>
      <c r="L461" s="97"/>
      <c r="M461" s="97"/>
      <c r="N461" s="97"/>
      <c r="O461" s="97"/>
      <c r="P461" s="97"/>
      <c r="Q461" s="97"/>
      <c r="R461" s="97"/>
      <c r="S461" s="97"/>
      <c r="T461" s="97"/>
      <c r="U461" s="97"/>
      <c r="V461" s="97"/>
      <c r="W461" s="97"/>
      <c r="X461" s="97"/>
      <c r="Y461" s="97"/>
      <c r="Z461" s="97"/>
      <c r="AA461" s="97"/>
    </row>
    <row r="462" spans="1:27" ht="15.75" x14ac:dyDescent="0.15">
      <c r="A462" s="97"/>
      <c r="B462" s="97"/>
      <c r="C462" s="97"/>
      <c r="D462" s="97"/>
      <c r="E462" s="97"/>
      <c r="F462" s="97"/>
      <c r="G462" s="97"/>
      <c r="H462" s="97"/>
      <c r="I462" s="97"/>
      <c r="J462" s="97"/>
      <c r="K462" s="97"/>
      <c r="L462" s="97"/>
      <c r="M462" s="97"/>
      <c r="N462" s="97"/>
      <c r="O462" s="97"/>
      <c r="P462" s="97"/>
      <c r="Q462" s="97"/>
      <c r="R462" s="97"/>
      <c r="S462" s="97"/>
      <c r="T462" s="97"/>
      <c r="U462" s="97"/>
      <c r="V462" s="97"/>
      <c r="W462" s="97"/>
      <c r="X462" s="97"/>
      <c r="Y462" s="97"/>
      <c r="Z462" s="97"/>
      <c r="AA462" s="97"/>
    </row>
    <row r="463" spans="1:27" ht="15.75" x14ac:dyDescent="0.15">
      <c r="A463" s="97"/>
      <c r="B463" s="97"/>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c r="AA463" s="97"/>
    </row>
    <row r="464" spans="1:27" ht="15.75" x14ac:dyDescent="0.15">
      <c r="A464" s="97"/>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7"/>
      <c r="Z464" s="97"/>
      <c r="AA464" s="97"/>
    </row>
    <row r="465" spans="1:27" ht="15.75" x14ac:dyDescent="0.15">
      <c r="A465" s="97"/>
      <c r="B465" s="97"/>
      <c r="C465" s="97"/>
      <c r="D465" s="97"/>
      <c r="E465" s="97"/>
      <c r="F465" s="97"/>
      <c r="G465" s="97"/>
      <c r="H465" s="97"/>
      <c r="I465" s="97"/>
      <c r="J465" s="97"/>
      <c r="K465" s="97"/>
      <c r="L465" s="97"/>
      <c r="M465" s="97"/>
      <c r="N465" s="97"/>
      <c r="O465" s="97"/>
      <c r="P465" s="97"/>
      <c r="Q465" s="97"/>
      <c r="R465" s="97"/>
      <c r="S465" s="97"/>
      <c r="T465" s="97"/>
      <c r="U465" s="97"/>
      <c r="V465" s="97"/>
      <c r="W465" s="97"/>
      <c r="X465" s="97"/>
      <c r="Y465" s="97"/>
      <c r="Z465" s="97"/>
      <c r="AA465" s="97"/>
    </row>
    <row r="466" spans="1:27" ht="15.75" x14ac:dyDescent="0.15">
      <c r="A466" s="97"/>
      <c r="B466" s="97"/>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c r="AA466" s="97"/>
    </row>
    <row r="467" spans="1:27" ht="15.75" x14ac:dyDescent="0.15">
      <c r="A467" s="97"/>
      <c r="B467" s="97"/>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c r="AA467" s="97"/>
    </row>
    <row r="468" spans="1:27" ht="15.75" x14ac:dyDescent="0.15">
      <c r="A468" s="97"/>
      <c r="B468" s="97"/>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c r="AA468" s="97"/>
    </row>
    <row r="469" spans="1:27" ht="15.75" x14ac:dyDescent="0.15">
      <c r="A469" s="97"/>
      <c r="B469" s="97"/>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c r="AA469" s="97"/>
    </row>
    <row r="470" spans="1:27" ht="15.75" x14ac:dyDescent="0.15">
      <c r="A470" s="97"/>
      <c r="B470" s="97"/>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7"/>
      <c r="AA470" s="97"/>
    </row>
    <row r="471" spans="1:27" ht="15.75" x14ac:dyDescent="0.15">
      <c r="A471" s="97"/>
      <c r="B471" s="97"/>
      <c r="C471" s="97"/>
      <c r="D471" s="97"/>
      <c r="E471" s="97"/>
      <c r="F471" s="97"/>
      <c r="G471" s="97"/>
      <c r="H471" s="97"/>
      <c r="I471" s="97"/>
      <c r="J471" s="97"/>
      <c r="K471" s="97"/>
      <c r="L471" s="97"/>
      <c r="M471" s="97"/>
      <c r="N471" s="97"/>
      <c r="O471" s="97"/>
      <c r="P471" s="97"/>
      <c r="Q471" s="97"/>
      <c r="R471" s="97"/>
      <c r="S471" s="97"/>
      <c r="T471" s="97"/>
      <c r="U471" s="97"/>
      <c r="V471" s="97"/>
      <c r="W471" s="97"/>
      <c r="X471" s="97"/>
      <c r="Y471" s="97"/>
      <c r="Z471" s="97"/>
      <c r="AA471" s="97"/>
    </row>
    <row r="472" spans="1:27" ht="15.75" x14ac:dyDescent="0.15">
      <c r="A472" s="97"/>
      <c r="B472" s="97"/>
      <c r="C472" s="97"/>
      <c r="D472" s="97"/>
      <c r="E472" s="97"/>
      <c r="F472" s="97"/>
      <c r="G472" s="97"/>
      <c r="H472" s="97"/>
      <c r="I472" s="97"/>
      <c r="J472" s="97"/>
      <c r="K472" s="97"/>
      <c r="L472" s="97"/>
      <c r="M472" s="97"/>
      <c r="N472" s="97"/>
      <c r="O472" s="97"/>
      <c r="P472" s="97"/>
      <c r="Q472" s="97"/>
      <c r="R472" s="97"/>
      <c r="S472" s="97"/>
      <c r="T472" s="97"/>
      <c r="U472" s="97"/>
      <c r="V472" s="97"/>
      <c r="W472" s="97"/>
      <c r="X472" s="97"/>
      <c r="Y472" s="97"/>
      <c r="Z472" s="97"/>
      <c r="AA472" s="97"/>
    </row>
    <row r="473" spans="1:27" ht="15.75" x14ac:dyDescent="0.15">
      <c r="A473" s="97"/>
      <c r="B473" s="97"/>
      <c r="C473" s="97"/>
      <c r="D473" s="97"/>
      <c r="E473" s="97"/>
      <c r="F473" s="97"/>
      <c r="G473" s="97"/>
      <c r="H473" s="97"/>
      <c r="I473" s="97"/>
      <c r="J473" s="97"/>
      <c r="K473" s="97"/>
      <c r="L473" s="97"/>
      <c r="M473" s="97"/>
      <c r="N473" s="97"/>
      <c r="O473" s="97"/>
      <c r="P473" s="97"/>
      <c r="Q473" s="97"/>
      <c r="R473" s="97"/>
      <c r="S473" s="97"/>
      <c r="T473" s="97"/>
      <c r="U473" s="97"/>
      <c r="V473" s="97"/>
      <c r="W473" s="97"/>
      <c r="X473" s="97"/>
      <c r="Y473" s="97"/>
      <c r="Z473" s="97"/>
      <c r="AA473" s="97"/>
    </row>
    <row r="474" spans="1:27" ht="15.75" x14ac:dyDescent="0.15">
      <c r="A474" s="97"/>
      <c r="B474" s="97"/>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c r="AA474" s="97"/>
    </row>
    <row r="475" spans="1:27" ht="15.75" x14ac:dyDescent="0.15">
      <c r="A475" s="97"/>
      <c r="B475" s="97"/>
      <c r="C475" s="97"/>
      <c r="D475" s="97"/>
      <c r="E475" s="97"/>
      <c r="F475" s="97"/>
      <c r="G475" s="97"/>
      <c r="H475" s="97"/>
      <c r="I475" s="97"/>
      <c r="J475" s="97"/>
      <c r="K475" s="97"/>
      <c r="L475" s="97"/>
      <c r="M475" s="97"/>
      <c r="N475" s="97"/>
      <c r="O475" s="97"/>
      <c r="P475" s="97"/>
      <c r="Q475" s="97"/>
      <c r="R475" s="97"/>
      <c r="S475" s="97"/>
      <c r="T475" s="97"/>
      <c r="U475" s="97"/>
      <c r="V475" s="97"/>
      <c r="W475" s="97"/>
      <c r="X475" s="97"/>
      <c r="Y475" s="97"/>
      <c r="Z475" s="97"/>
      <c r="AA475" s="97"/>
    </row>
    <row r="476" spans="1:27" ht="15.75" x14ac:dyDescent="0.15">
      <c r="A476" s="97"/>
      <c r="B476" s="97"/>
      <c r="C476" s="97"/>
      <c r="D476" s="97"/>
      <c r="E476" s="97"/>
      <c r="F476" s="97"/>
      <c r="G476" s="97"/>
      <c r="H476" s="97"/>
      <c r="I476" s="97"/>
      <c r="J476" s="97"/>
      <c r="K476" s="97"/>
      <c r="L476" s="97"/>
      <c r="M476" s="97"/>
      <c r="N476" s="97"/>
      <c r="O476" s="97"/>
      <c r="P476" s="97"/>
      <c r="Q476" s="97"/>
      <c r="R476" s="97"/>
      <c r="S476" s="97"/>
      <c r="T476" s="97"/>
      <c r="U476" s="97"/>
      <c r="V476" s="97"/>
      <c r="W476" s="97"/>
      <c r="X476" s="97"/>
      <c r="Y476" s="97"/>
      <c r="Z476" s="97"/>
      <c r="AA476" s="97"/>
    </row>
    <row r="477" spans="1:27" x14ac:dyDescent="0.15">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row>
    <row r="478" spans="1:27" ht="15.75" x14ac:dyDescent="0.15">
      <c r="A478" s="97"/>
      <c r="B478" s="97"/>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c r="AA478" s="97"/>
    </row>
    <row r="479" spans="1:27" ht="15.75" x14ac:dyDescent="0.15">
      <c r="A479" s="97"/>
      <c r="B479" s="97"/>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c r="AA479" s="97"/>
    </row>
    <row r="480" spans="1:27" x14ac:dyDescent="0.15">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row>
  </sheetData>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8A17-9D34-45AC-AF06-9A3E49C2A639}">
  <sheetPr>
    <tabColor theme="0" tint="-0.499984740745262"/>
  </sheetPr>
  <dimension ref="A1:AH58"/>
  <sheetViews>
    <sheetView workbookViewId="0">
      <selection activeCell="C18" sqref="C18:D18"/>
    </sheetView>
  </sheetViews>
  <sheetFormatPr defaultRowHeight="13.5" x14ac:dyDescent="0.15"/>
  <cols>
    <col min="1" max="1" width="23.375" customWidth="1"/>
    <col min="2" max="2" width="13.75" customWidth="1"/>
    <col min="3" max="16" width="10.625" customWidth="1"/>
    <col min="17" max="17" width="1.25" customWidth="1"/>
    <col min="18" max="18" width="12.375" customWidth="1"/>
    <col min="19" max="21" width="10.625" customWidth="1"/>
    <col min="22" max="22" width="16.5" customWidth="1"/>
    <col min="23" max="23" width="22.75" customWidth="1"/>
    <col min="24" max="24" width="14.875" customWidth="1"/>
    <col min="32" max="32" width="10.875" customWidth="1"/>
  </cols>
  <sheetData>
    <row r="1" spans="1:34" ht="21" x14ac:dyDescent="0.15">
      <c r="A1" s="196" t="s">
        <v>133</v>
      </c>
      <c r="B1" s="196" t="s">
        <v>129</v>
      </c>
      <c r="D1" s="196"/>
      <c r="E1" s="196"/>
      <c r="F1" s="196"/>
      <c r="G1" s="196"/>
      <c r="H1" s="39"/>
      <c r="I1" s="39"/>
      <c r="J1" s="39"/>
      <c r="K1" s="39"/>
      <c r="L1" s="39"/>
      <c r="M1" s="39"/>
      <c r="N1" s="39"/>
      <c r="O1" s="39"/>
      <c r="P1" s="39"/>
      <c r="Q1" s="39"/>
      <c r="R1" s="39"/>
      <c r="V1" s="39"/>
    </row>
    <row r="2" spans="1:34" ht="14.25" x14ac:dyDescent="0.15">
      <c r="A2" s="197" t="s">
        <v>51</v>
      </c>
      <c r="B2" s="197"/>
      <c r="C2" s="197"/>
      <c r="D2" s="197"/>
      <c r="E2" s="197"/>
      <c r="F2" s="197"/>
      <c r="G2" s="197"/>
      <c r="H2" s="67"/>
      <c r="I2" s="67"/>
      <c r="J2" s="67"/>
      <c r="K2" s="67"/>
      <c r="L2" s="67"/>
      <c r="M2" s="67"/>
      <c r="N2" s="67"/>
      <c r="O2" s="67"/>
      <c r="P2" s="67"/>
      <c r="Q2" s="67"/>
      <c r="R2" s="67"/>
      <c r="V2" s="67"/>
    </row>
    <row r="3" spans="1:34" x14ac:dyDescent="0.15">
      <c r="A3" s="60"/>
      <c r="B3" s="253" t="s">
        <v>168</v>
      </c>
      <c r="C3" s="254"/>
      <c r="D3" s="254"/>
      <c r="E3" s="254"/>
      <c r="F3" s="254"/>
      <c r="G3" s="255"/>
      <c r="H3" s="255"/>
      <c r="I3" s="255"/>
      <c r="J3" s="255"/>
      <c r="K3" s="255"/>
      <c r="L3" s="256"/>
      <c r="M3" s="256"/>
      <c r="N3" s="256"/>
      <c r="O3" s="256"/>
      <c r="P3" s="256"/>
      <c r="Q3" s="239"/>
      <c r="R3" s="240" t="s">
        <v>169</v>
      </c>
      <c r="S3" s="239"/>
      <c r="T3" s="238"/>
      <c r="U3" s="239"/>
      <c r="V3" s="239"/>
      <c r="W3" s="246" t="s">
        <v>178</v>
      </c>
      <c r="X3" s="246"/>
      <c r="Y3" s="246"/>
      <c r="Z3" s="246"/>
      <c r="AA3" s="246"/>
      <c r="AB3" s="246"/>
      <c r="AC3" s="246"/>
      <c r="AD3" s="246"/>
      <c r="AE3" s="246"/>
      <c r="AF3" s="246"/>
      <c r="AG3" s="246"/>
      <c r="AH3" s="246"/>
    </row>
    <row r="4" spans="1:34" s="100" customFormat="1" ht="94.5" customHeight="1" thickBot="1" x14ac:dyDescent="0.2">
      <c r="A4" s="101"/>
      <c r="B4" s="257" t="s">
        <v>155</v>
      </c>
      <c r="C4" s="257" t="s">
        <v>156</v>
      </c>
      <c r="D4" s="257" t="s">
        <v>157</v>
      </c>
      <c r="E4" s="257" t="s">
        <v>162</v>
      </c>
      <c r="F4" s="257" t="s">
        <v>164</v>
      </c>
      <c r="G4" s="257" t="s">
        <v>158</v>
      </c>
      <c r="H4" s="257" t="s">
        <v>159</v>
      </c>
      <c r="I4" s="257" t="s">
        <v>160</v>
      </c>
      <c r="J4" s="257" t="s">
        <v>163</v>
      </c>
      <c r="K4" s="257" t="s">
        <v>165</v>
      </c>
      <c r="L4" s="257" t="s">
        <v>161</v>
      </c>
      <c r="M4" s="257" t="s">
        <v>760</v>
      </c>
      <c r="N4" s="257" t="s">
        <v>1184</v>
      </c>
      <c r="O4" s="257" t="s">
        <v>761</v>
      </c>
      <c r="P4" s="257" t="s">
        <v>762</v>
      </c>
      <c r="Q4" s="237"/>
      <c r="R4" s="237" t="s">
        <v>154</v>
      </c>
      <c r="S4" s="237" t="s">
        <v>166</v>
      </c>
      <c r="T4" s="237" t="s">
        <v>167</v>
      </c>
      <c r="U4" s="237"/>
      <c r="V4" s="237" t="s">
        <v>790</v>
      </c>
      <c r="W4" s="245"/>
      <c r="X4" s="241" t="s">
        <v>174</v>
      </c>
      <c r="Y4" s="241" t="s">
        <v>175</v>
      </c>
      <c r="Z4" s="242" t="s">
        <v>170</v>
      </c>
      <c r="AA4" s="242" t="s">
        <v>171</v>
      </c>
      <c r="AB4" s="242"/>
      <c r="AC4" s="242" t="s">
        <v>172</v>
      </c>
      <c r="AD4" s="242" t="s">
        <v>173</v>
      </c>
      <c r="AE4" s="242"/>
      <c r="AF4" s="243" t="s">
        <v>176</v>
      </c>
      <c r="AG4" s="243" t="s">
        <v>177</v>
      </c>
      <c r="AH4" s="243" t="s">
        <v>183</v>
      </c>
    </row>
    <row r="5" spans="1:34" ht="14.25" x14ac:dyDescent="0.15">
      <c r="A5" s="105" t="s">
        <v>134</v>
      </c>
      <c r="B5" s="42">
        <v>110000</v>
      </c>
      <c r="C5" s="42">
        <v>132000</v>
      </c>
      <c r="D5" s="42">
        <v>143000</v>
      </c>
      <c r="E5" s="261"/>
      <c r="F5" s="261"/>
      <c r="G5" s="42">
        <v>82500</v>
      </c>
      <c r="H5" s="42">
        <v>99000</v>
      </c>
      <c r="I5" s="42">
        <v>107250</v>
      </c>
      <c r="J5" s="262"/>
      <c r="K5" s="262"/>
      <c r="L5" s="85">
        <v>60500</v>
      </c>
      <c r="M5" s="85" t="s">
        <v>1167</v>
      </c>
      <c r="N5" s="85" t="s">
        <v>1185</v>
      </c>
      <c r="O5" s="85" t="s">
        <v>1168</v>
      </c>
      <c r="P5" s="85">
        <v>30000</v>
      </c>
      <c r="Q5" s="85"/>
      <c r="R5" s="85">
        <v>150000</v>
      </c>
      <c r="S5" s="85">
        <v>112500</v>
      </c>
      <c r="T5" s="85">
        <v>82500</v>
      </c>
      <c r="U5" s="85"/>
      <c r="V5" s="85"/>
      <c r="W5" s="244" t="s">
        <v>803</v>
      </c>
      <c r="X5" s="38">
        <v>40000</v>
      </c>
      <c r="Y5" s="38">
        <v>48000</v>
      </c>
      <c r="Z5" s="38">
        <v>70000</v>
      </c>
      <c r="AA5" s="38">
        <v>40000</v>
      </c>
      <c r="AB5" s="38"/>
      <c r="AC5" s="38">
        <v>5000</v>
      </c>
      <c r="AD5" s="38">
        <v>6000</v>
      </c>
      <c r="AE5" s="40"/>
      <c r="AF5" s="40">
        <v>100000</v>
      </c>
      <c r="AG5" s="40">
        <v>120000</v>
      </c>
      <c r="AH5" s="40">
        <v>150000</v>
      </c>
    </row>
    <row r="6" spans="1:34" ht="14.25" x14ac:dyDescent="0.15">
      <c r="A6" s="105" t="s">
        <v>148</v>
      </c>
      <c r="B6" s="42">
        <v>120000</v>
      </c>
      <c r="C6" s="42">
        <v>144000</v>
      </c>
      <c r="D6" s="42">
        <v>156000</v>
      </c>
      <c r="E6" s="261"/>
      <c r="F6" s="261"/>
      <c r="G6" s="42">
        <v>90000</v>
      </c>
      <c r="H6" s="42">
        <v>108000</v>
      </c>
      <c r="I6" s="42">
        <v>117000</v>
      </c>
      <c r="J6" s="261"/>
      <c r="K6" s="261"/>
      <c r="L6" s="42">
        <v>66000</v>
      </c>
      <c r="M6" s="42" t="s">
        <v>1167</v>
      </c>
      <c r="N6" s="42" t="s">
        <v>1185</v>
      </c>
      <c r="O6" s="42" t="s">
        <v>1168</v>
      </c>
      <c r="P6" s="42">
        <v>30000</v>
      </c>
      <c r="Q6" s="42"/>
      <c r="R6" s="42">
        <v>200000</v>
      </c>
      <c r="S6" s="42">
        <v>150000</v>
      </c>
      <c r="T6" s="42">
        <v>110000.00000000001</v>
      </c>
      <c r="U6" s="42"/>
      <c r="V6" s="42"/>
      <c r="W6" s="244" t="s">
        <v>893</v>
      </c>
      <c r="X6" s="38">
        <v>32000</v>
      </c>
      <c r="Y6" s="38">
        <v>38400</v>
      </c>
      <c r="Z6" s="38">
        <v>70000</v>
      </c>
      <c r="AA6" s="38">
        <v>40000</v>
      </c>
      <c r="AB6" s="38"/>
      <c r="AC6" s="38">
        <v>4000</v>
      </c>
      <c r="AD6" s="38">
        <v>4800</v>
      </c>
      <c r="AE6" s="40"/>
      <c r="AF6" s="40">
        <v>100000</v>
      </c>
      <c r="AG6" s="40">
        <v>120000</v>
      </c>
      <c r="AH6" s="40">
        <v>150000</v>
      </c>
    </row>
    <row r="7" spans="1:34" ht="14.25" x14ac:dyDescent="0.15">
      <c r="A7" s="105" t="s">
        <v>135</v>
      </c>
      <c r="B7" s="42">
        <v>130000</v>
      </c>
      <c r="C7" s="42">
        <v>169000</v>
      </c>
      <c r="D7" s="42">
        <v>182000</v>
      </c>
      <c r="E7" s="261"/>
      <c r="F7" s="261"/>
      <c r="G7" s="42">
        <v>97500</v>
      </c>
      <c r="H7" s="42">
        <v>126750</v>
      </c>
      <c r="I7" s="42">
        <v>136500</v>
      </c>
      <c r="J7" s="261"/>
      <c r="K7" s="261"/>
      <c r="L7" s="42">
        <v>71500</v>
      </c>
      <c r="M7" s="42" t="s">
        <v>1167</v>
      </c>
      <c r="N7" s="42" t="s">
        <v>1185</v>
      </c>
      <c r="O7" s="42" t="s">
        <v>1168</v>
      </c>
      <c r="P7" s="42">
        <v>30000</v>
      </c>
      <c r="Q7" s="42"/>
      <c r="R7" s="42">
        <v>240000</v>
      </c>
      <c r="S7" s="42">
        <v>180000</v>
      </c>
      <c r="T7" s="42">
        <v>132000</v>
      </c>
      <c r="U7" s="42"/>
      <c r="V7" s="42"/>
    </row>
    <row r="8" spans="1:34" ht="14.25" x14ac:dyDescent="0.15">
      <c r="A8" s="105" t="s">
        <v>136</v>
      </c>
      <c r="B8" s="42">
        <v>150000</v>
      </c>
      <c r="C8" s="42">
        <v>195000</v>
      </c>
      <c r="D8" s="42">
        <v>210000</v>
      </c>
      <c r="E8" s="42">
        <v>225000</v>
      </c>
      <c r="F8" s="261"/>
      <c r="G8" s="42">
        <v>112500</v>
      </c>
      <c r="H8" s="42">
        <v>146250</v>
      </c>
      <c r="I8" s="42">
        <v>157500</v>
      </c>
      <c r="J8" s="42">
        <v>168750</v>
      </c>
      <c r="K8" s="261"/>
      <c r="L8" s="42">
        <v>82500</v>
      </c>
      <c r="M8" s="42" t="s">
        <v>1167</v>
      </c>
      <c r="N8" s="42" t="s">
        <v>1185</v>
      </c>
      <c r="O8" s="42" t="s">
        <v>1168</v>
      </c>
      <c r="P8" s="42">
        <v>30000</v>
      </c>
      <c r="Q8" s="42"/>
      <c r="R8" s="42">
        <v>280000</v>
      </c>
      <c r="S8" s="42">
        <v>210000</v>
      </c>
      <c r="T8" s="42">
        <v>154000</v>
      </c>
      <c r="U8" s="42"/>
      <c r="V8" s="42"/>
    </row>
    <row r="9" spans="1:34" ht="14.25" x14ac:dyDescent="0.15">
      <c r="A9" s="105" t="s">
        <v>137</v>
      </c>
      <c r="B9" s="42">
        <v>185000</v>
      </c>
      <c r="C9" s="42">
        <v>240500</v>
      </c>
      <c r="D9" s="42">
        <v>258999.99999999997</v>
      </c>
      <c r="E9" s="42">
        <v>277500</v>
      </c>
      <c r="F9" s="261"/>
      <c r="G9" s="42">
        <v>138750</v>
      </c>
      <c r="H9" s="42">
        <v>180375</v>
      </c>
      <c r="I9" s="42">
        <v>194250</v>
      </c>
      <c r="J9" s="42">
        <v>208125</v>
      </c>
      <c r="K9" s="261"/>
      <c r="L9" s="42">
        <v>101750</v>
      </c>
      <c r="M9" s="42" t="s">
        <v>1167</v>
      </c>
      <c r="N9" s="42" t="s">
        <v>1185</v>
      </c>
      <c r="O9" s="42" t="s">
        <v>1168</v>
      </c>
      <c r="P9" s="42">
        <v>30000</v>
      </c>
      <c r="Q9" s="42"/>
      <c r="R9" s="42">
        <v>320000</v>
      </c>
      <c r="S9" s="42">
        <v>240000</v>
      </c>
      <c r="T9" s="42">
        <v>176000</v>
      </c>
      <c r="U9" s="42"/>
      <c r="V9" s="42"/>
    </row>
    <row r="10" spans="1:34" ht="14.25" x14ac:dyDescent="0.15">
      <c r="A10" s="105" t="s">
        <v>138</v>
      </c>
      <c r="B10" s="42">
        <v>215000</v>
      </c>
      <c r="C10" s="42">
        <v>279500</v>
      </c>
      <c r="D10" s="42">
        <v>301000</v>
      </c>
      <c r="E10" s="42">
        <v>322500</v>
      </c>
      <c r="F10" s="42">
        <v>344000</v>
      </c>
      <c r="G10" s="42">
        <v>161250</v>
      </c>
      <c r="H10" s="42">
        <v>209625</v>
      </c>
      <c r="I10" s="42">
        <v>225750</v>
      </c>
      <c r="J10" s="42">
        <v>241875</v>
      </c>
      <c r="K10" s="42">
        <v>258000</v>
      </c>
      <c r="L10" s="42">
        <v>118250</v>
      </c>
      <c r="M10" s="42" t="s">
        <v>1167</v>
      </c>
      <c r="N10" s="42" t="s">
        <v>1185</v>
      </c>
      <c r="O10" s="42" t="s">
        <v>1168</v>
      </c>
      <c r="P10" s="42">
        <v>30000</v>
      </c>
      <c r="Q10" s="42"/>
      <c r="R10" s="42">
        <v>370000</v>
      </c>
      <c r="S10" s="42">
        <v>277500</v>
      </c>
      <c r="T10" s="42">
        <v>203500.00000000003</v>
      </c>
      <c r="U10" s="42"/>
      <c r="V10" s="42"/>
    </row>
    <row r="11" spans="1:34" ht="14.25" x14ac:dyDescent="0.15">
      <c r="A11" s="105" t="s">
        <v>139</v>
      </c>
      <c r="B11" s="42">
        <v>240000</v>
      </c>
      <c r="C11" s="42">
        <v>312000</v>
      </c>
      <c r="D11" s="42">
        <v>336000</v>
      </c>
      <c r="E11" s="42">
        <v>360000</v>
      </c>
      <c r="F11" s="42">
        <v>384000</v>
      </c>
      <c r="G11" s="42">
        <v>180000</v>
      </c>
      <c r="H11" s="42">
        <v>234000</v>
      </c>
      <c r="I11" s="42">
        <v>251999.99999999997</v>
      </c>
      <c r="J11" s="42">
        <v>270000</v>
      </c>
      <c r="K11" s="42">
        <v>288000</v>
      </c>
      <c r="L11" s="42">
        <v>132000</v>
      </c>
      <c r="M11" s="42" t="s">
        <v>1167</v>
      </c>
      <c r="N11" s="42" t="s">
        <v>1185</v>
      </c>
      <c r="O11" s="42" t="s">
        <v>1168</v>
      </c>
      <c r="P11" s="42">
        <v>30000</v>
      </c>
      <c r="Q11" s="42"/>
      <c r="R11" s="42">
        <v>420000</v>
      </c>
      <c r="S11" s="42">
        <v>315000</v>
      </c>
      <c r="T11" s="42">
        <v>231000.00000000003</v>
      </c>
      <c r="U11" s="42"/>
      <c r="V11" s="42"/>
    </row>
    <row r="12" spans="1:34" ht="14.25" x14ac:dyDescent="0.15">
      <c r="A12" s="105" t="s">
        <v>140</v>
      </c>
      <c r="B12" s="42">
        <v>270000</v>
      </c>
      <c r="C12" s="42">
        <v>351000</v>
      </c>
      <c r="D12" s="42">
        <v>378000</v>
      </c>
      <c r="E12" s="42">
        <v>405000</v>
      </c>
      <c r="F12" s="42">
        <v>432000</v>
      </c>
      <c r="G12" s="42">
        <v>202500</v>
      </c>
      <c r="H12" s="42">
        <v>263250</v>
      </c>
      <c r="I12" s="42">
        <v>283500</v>
      </c>
      <c r="J12" s="42">
        <v>303750</v>
      </c>
      <c r="K12" s="42">
        <v>324000</v>
      </c>
      <c r="L12" s="42">
        <v>148500</v>
      </c>
      <c r="M12" s="42" t="s">
        <v>1167</v>
      </c>
      <c r="N12" s="42" t="s">
        <v>1185</v>
      </c>
      <c r="O12" s="42" t="s">
        <v>1168</v>
      </c>
      <c r="P12" s="42">
        <v>30000</v>
      </c>
      <c r="Q12" s="42"/>
      <c r="R12" s="42">
        <v>460000</v>
      </c>
      <c r="S12" s="42">
        <v>345000</v>
      </c>
      <c r="T12" s="42">
        <v>253000.00000000003</v>
      </c>
      <c r="U12" s="42"/>
      <c r="V12" s="42"/>
      <c r="AC12" s="3"/>
    </row>
    <row r="13" spans="1:34" ht="14.25" x14ac:dyDescent="0.15">
      <c r="A13" s="105" t="s">
        <v>141</v>
      </c>
      <c r="B13" s="42">
        <v>285000</v>
      </c>
      <c r="C13" s="42">
        <v>370500</v>
      </c>
      <c r="D13" s="42">
        <v>399000</v>
      </c>
      <c r="E13" s="42">
        <v>427500</v>
      </c>
      <c r="F13" s="42">
        <v>456000</v>
      </c>
      <c r="G13" s="42">
        <v>213750</v>
      </c>
      <c r="H13" s="42">
        <v>277875</v>
      </c>
      <c r="I13" s="42">
        <v>299250</v>
      </c>
      <c r="J13" s="42">
        <v>320625</v>
      </c>
      <c r="K13" s="42">
        <v>342000</v>
      </c>
      <c r="L13" s="42">
        <v>156750</v>
      </c>
      <c r="M13" s="42" t="s">
        <v>1167</v>
      </c>
      <c r="N13" s="42" t="s">
        <v>1185</v>
      </c>
      <c r="O13" s="42" t="s">
        <v>1168</v>
      </c>
      <c r="P13" s="42">
        <v>30000</v>
      </c>
      <c r="Q13" s="42"/>
      <c r="R13" s="42">
        <v>500000</v>
      </c>
      <c r="S13" s="42">
        <v>375000</v>
      </c>
      <c r="T13" s="42">
        <v>275000</v>
      </c>
      <c r="U13" s="42"/>
      <c r="V13" s="42"/>
      <c r="AC13" s="3"/>
    </row>
    <row r="14" spans="1:34" ht="14.25" x14ac:dyDescent="0.15">
      <c r="A14" s="105" t="s">
        <v>142</v>
      </c>
      <c r="B14" s="42">
        <v>300000</v>
      </c>
      <c r="C14" s="42">
        <v>390000</v>
      </c>
      <c r="D14" s="42">
        <v>420000</v>
      </c>
      <c r="E14" s="42">
        <v>450000</v>
      </c>
      <c r="F14" s="42">
        <v>480000</v>
      </c>
      <c r="G14" s="42">
        <v>225000</v>
      </c>
      <c r="H14" s="42">
        <v>292500</v>
      </c>
      <c r="I14" s="42">
        <v>315000</v>
      </c>
      <c r="J14" s="42">
        <v>337500</v>
      </c>
      <c r="K14" s="42">
        <v>360000</v>
      </c>
      <c r="L14" s="42">
        <v>165000</v>
      </c>
      <c r="M14" s="42" t="s">
        <v>1167</v>
      </c>
      <c r="N14" s="42" t="s">
        <v>1185</v>
      </c>
      <c r="O14" s="42" t="s">
        <v>1168</v>
      </c>
      <c r="P14" s="42">
        <v>30000</v>
      </c>
      <c r="Q14" s="42"/>
      <c r="R14" s="42">
        <v>540000</v>
      </c>
      <c r="S14" s="42">
        <v>405000</v>
      </c>
      <c r="T14" s="42">
        <v>297000</v>
      </c>
      <c r="U14" s="42"/>
      <c r="V14" s="42"/>
      <c r="AC14" s="3"/>
    </row>
    <row r="15" spans="1:34" ht="14.25" x14ac:dyDescent="0.15">
      <c r="A15" s="105" t="s">
        <v>143</v>
      </c>
      <c r="B15" s="42">
        <v>320000</v>
      </c>
      <c r="C15" s="42">
        <v>416000</v>
      </c>
      <c r="D15" s="42">
        <v>448000</v>
      </c>
      <c r="E15" s="42">
        <v>480000</v>
      </c>
      <c r="F15" s="42">
        <v>512000</v>
      </c>
      <c r="G15" s="42">
        <v>240000</v>
      </c>
      <c r="H15" s="42">
        <v>312000</v>
      </c>
      <c r="I15" s="42">
        <v>336000</v>
      </c>
      <c r="J15" s="42">
        <v>360000</v>
      </c>
      <c r="K15" s="42">
        <v>384000</v>
      </c>
      <c r="L15" s="42">
        <v>176000</v>
      </c>
      <c r="M15" s="42" t="s">
        <v>1167</v>
      </c>
      <c r="N15" s="42" t="s">
        <v>1185</v>
      </c>
      <c r="O15" s="42" t="s">
        <v>1168</v>
      </c>
      <c r="P15" s="42">
        <v>30000</v>
      </c>
      <c r="Q15" s="42"/>
      <c r="R15" s="42">
        <v>570000</v>
      </c>
      <c r="S15" s="42">
        <v>427500</v>
      </c>
      <c r="T15" s="42">
        <v>313500</v>
      </c>
      <c r="U15" s="42"/>
      <c r="V15" s="42"/>
      <c r="AC15" s="3"/>
    </row>
    <row r="16" spans="1:34" ht="14.25" x14ac:dyDescent="0.15">
      <c r="A16" s="105" t="s">
        <v>149</v>
      </c>
      <c r="B16" s="42">
        <v>340000</v>
      </c>
      <c r="C16" s="42">
        <v>442000</v>
      </c>
      <c r="D16" s="42">
        <v>475999.99999999994</v>
      </c>
      <c r="E16" s="42">
        <v>510000</v>
      </c>
      <c r="F16" s="42">
        <v>544000</v>
      </c>
      <c r="G16" s="42">
        <v>255000</v>
      </c>
      <c r="H16" s="42">
        <v>331500</v>
      </c>
      <c r="I16" s="42">
        <v>357000</v>
      </c>
      <c r="J16" s="42">
        <v>382500</v>
      </c>
      <c r="K16" s="42">
        <v>408000</v>
      </c>
      <c r="L16" s="42">
        <v>187000</v>
      </c>
      <c r="M16" s="42" t="s">
        <v>1167</v>
      </c>
      <c r="N16" s="42" t="s">
        <v>1185</v>
      </c>
      <c r="O16" s="42" t="s">
        <v>1168</v>
      </c>
      <c r="P16" s="42">
        <v>30000</v>
      </c>
      <c r="Q16" s="44"/>
      <c r="R16" s="44">
        <v>600000</v>
      </c>
      <c r="S16" s="44">
        <v>450000</v>
      </c>
      <c r="T16" s="44">
        <v>330000</v>
      </c>
      <c r="U16" s="44"/>
      <c r="V16" s="44"/>
    </row>
    <row r="17" spans="1:32" ht="14.25" x14ac:dyDescent="0.15">
      <c r="A17" s="105" t="s">
        <v>150</v>
      </c>
      <c r="B17" s="42">
        <v>370000</v>
      </c>
      <c r="C17" s="42">
        <v>481000</v>
      </c>
      <c r="D17" s="42">
        <v>517999.99999999994</v>
      </c>
      <c r="E17" s="42">
        <v>555000</v>
      </c>
      <c r="F17" s="42">
        <v>592000</v>
      </c>
      <c r="G17" s="42">
        <v>277500</v>
      </c>
      <c r="H17" s="42">
        <v>360750</v>
      </c>
      <c r="I17" s="42">
        <v>388500</v>
      </c>
      <c r="J17" s="42">
        <v>416250</v>
      </c>
      <c r="K17" s="42">
        <v>444000</v>
      </c>
      <c r="L17" s="44">
        <v>203500</v>
      </c>
      <c r="M17" s="44" t="s">
        <v>1167</v>
      </c>
      <c r="N17" s="44" t="s">
        <v>1185</v>
      </c>
      <c r="O17" s="44" t="s">
        <v>1168</v>
      </c>
      <c r="P17" s="42">
        <v>30000</v>
      </c>
      <c r="Q17" s="44"/>
      <c r="R17" s="44">
        <v>630000</v>
      </c>
      <c r="S17" s="44">
        <v>472500</v>
      </c>
      <c r="T17" s="44">
        <v>346500</v>
      </c>
      <c r="U17" s="44"/>
      <c r="V17" s="44"/>
    </row>
    <row r="18" spans="1:32" ht="14.25" x14ac:dyDescent="0.15">
      <c r="A18" s="105" t="s">
        <v>144</v>
      </c>
      <c r="B18" s="42">
        <v>390000</v>
      </c>
      <c r="C18" s="42">
        <v>507000</v>
      </c>
      <c r="D18" s="42">
        <v>546000</v>
      </c>
      <c r="E18" s="42">
        <v>585000</v>
      </c>
      <c r="F18" s="42">
        <v>624000</v>
      </c>
      <c r="G18" s="42">
        <v>292500</v>
      </c>
      <c r="H18" s="42">
        <v>380250</v>
      </c>
      <c r="I18" s="42">
        <v>409500</v>
      </c>
      <c r="J18" s="42">
        <v>438750</v>
      </c>
      <c r="K18" s="42">
        <v>468000</v>
      </c>
      <c r="L18" s="44">
        <v>214500</v>
      </c>
      <c r="M18" s="44" t="s">
        <v>1167</v>
      </c>
      <c r="N18" s="44" t="s">
        <v>1185</v>
      </c>
      <c r="O18" s="44" t="s">
        <v>1168</v>
      </c>
      <c r="P18" s="42">
        <v>30000</v>
      </c>
      <c r="Q18" s="44"/>
      <c r="R18" s="44">
        <v>660000</v>
      </c>
      <c r="S18" s="44">
        <v>495000</v>
      </c>
      <c r="T18" s="44">
        <v>363000.00000000006</v>
      </c>
      <c r="U18" s="44"/>
      <c r="V18" s="44"/>
    </row>
    <row r="19" spans="1:32" ht="14.25" x14ac:dyDescent="0.15">
      <c r="A19" s="105" t="s">
        <v>145</v>
      </c>
      <c r="B19" s="42">
        <v>410000</v>
      </c>
      <c r="C19" s="42">
        <v>533000</v>
      </c>
      <c r="D19" s="42">
        <v>574000</v>
      </c>
      <c r="E19" s="42">
        <v>615000</v>
      </c>
      <c r="F19" s="42">
        <v>656000</v>
      </c>
      <c r="G19" s="42">
        <v>307500</v>
      </c>
      <c r="H19" s="42">
        <v>399750</v>
      </c>
      <c r="I19" s="42">
        <v>430500</v>
      </c>
      <c r="J19" s="42">
        <v>461250</v>
      </c>
      <c r="K19" s="42">
        <v>492000</v>
      </c>
      <c r="L19" s="44">
        <v>225500</v>
      </c>
      <c r="M19" s="44" t="s">
        <v>1167</v>
      </c>
      <c r="N19" s="44" t="s">
        <v>1185</v>
      </c>
      <c r="O19" s="44" t="s">
        <v>1168</v>
      </c>
      <c r="P19" s="42">
        <v>30000</v>
      </c>
      <c r="Q19" s="44"/>
      <c r="R19" s="44">
        <v>690000</v>
      </c>
      <c r="S19" s="44">
        <v>517500</v>
      </c>
      <c r="T19" s="44">
        <v>379500.00000000006</v>
      </c>
      <c r="U19" s="44"/>
      <c r="V19" s="44"/>
    </row>
    <row r="20" spans="1:32" ht="14.25" x14ac:dyDescent="0.15">
      <c r="A20" s="105" t="s">
        <v>146</v>
      </c>
      <c r="B20" s="42">
        <v>430000</v>
      </c>
      <c r="C20" s="42">
        <v>559000</v>
      </c>
      <c r="D20" s="42">
        <v>602000</v>
      </c>
      <c r="E20" s="42">
        <v>645000</v>
      </c>
      <c r="F20" s="42">
        <v>688000</v>
      </c>
      <c r="G20" s="42">
        <v>322500</v>
      </c>
      <c r="H20" s="42">
        <v>419250</v>
      </c>
      <c r="I20" s="42">
        <v>451500</v>
      </c>
      <c r="J20" s="42">
        <v>483750</v>
      </c>
      <c r="K20" s="42">
        <v>516000</v>
      </c>
      <c r="L20" s="44">
        <v>236500</v>
      </c>
      <c r="M20" s="44" t="s">
        <v>1167</v>
      </c>
      <c r="N20" s="44" t="s">
        <v>1185</v>
      </c>
      <c r="O20" s="44" t="s">
        <v>1168</v>
      </c>
      <c r="P20" s="42">
        <v>30000</v>
      </c>
      <c r="Q20" s="44"/>
      <c r="R20" s="44">
        <v>720000</v>
      </c>
      <c r="S20" s="44">
        <v>540000</v>
      </c>
      <c r="T20" s="44">
        <v>396000.00000000006</v>
      </c>
      <c r="U20" s="44"/>
      <c r="V20" s="44"/>
    </row>
    <row r="21" spans="1:32" ht="14.25" x14ac:dyDescent="0.15">
      <c r="A21" s="105" t="s">
        <v>151</v>
      </c>
      <c r="B21" s="42">
        <v>470000</v>
      </c>
      <c r="C21" s="42">
        <v>611000</v>
      </c>
      <c r="D21" s="42">
        <v>658000</v>
      </c>
      <c r="E21" s="42">
        <v>705000</v>
      </c>
      <c r="F21" s="42">
        <v>752000</v>
      </c>
      <c r="G21" s="42">
        <v>352500</v>
      </c>
      <c r="H21" s="42">
        <v>458250</v>
      </c>
      <c r="I21" s="42">
        <v>493499.99999999994</v>
      </c>
      <c r="J21" s="42">
        <v>528750</v>
      </c>
      <c r="K21" s="42">
        <v>564000</v>
      </c>
      <c r="L21" s="44">
        <v>258500</v>
      </c>
      <c r="M21" s="44" t="s">
        <v>1167</v>
      </c>
      <c r="N21" s="44" t="s">
        <v>1185</v>
      </c>
      <c r="O21" s="44" t="s">
        <v>1168</v>
      </c>
      <c r="P21" s="42">
        <v>30000</v>
      </c>
      <c r="Q21" s="44"/>
      <c r="R21" s="44">
        <v>800000</v>
      </c>
      <c r="S21" s="44">
        <v>600000</v>
      </c>
      <c r="T21" s="44">
        <v>440000.00000000006</v>
      </c>
      <c r="U21" s="44"/>
      <c r="V21" s="44"/>
    </row>
    <row r="22" spans="1:32" ht="14.25" x14ac:dyDescent="0.15">
      <c r="A22" s="105" t="s">
        <v>152</v>
      </c>
      <c r="B22" s="42">
        <v>520000</v>
      </c>
      <c r="C22" s="42">
        <v>676000</v>
      </c>
      <c r="D22" s="42">
        <v>728000</v>
      </c>
      <c r="E22" s="42">
        <v>780000</v>
      </c>
      <c r="F22" s="42">
        <v>832000</v>
      </c>
      <c r="G22" s="42">
        <v>390000</v>
      </c>
      <c r="H22" s="42">
        <v>507000</v>
      </c>
      <c r="I22" s="42">
        <v>546000</v>
      </c>
      <c r="J22" s="42">
        <v>585000</v>
      </c>
      <c r="K22" s="42">
        <v>624000</v>
      </c>
      <c r="L22" s="44">
        <v>286000</v>
      </c>
      <c r="M22" s="44" t="s">
        <v>1167</v>
      </c>
      <c r="N22" s="44" t="s">
        <v>1185</v>
      </c>
      <c r="O22" s="44" t="s">
        <v>1168</v>
      </c>
      <c r="P22" s="42">
        <v>30000</v>
      </c>
      <c r="Q22" s="44"/>
      <c r="R22" s="44">
        <v>870000</v>
      </c>
      <c r="S22" s="44">
        <v>652500</v>
      </c>
      <c r="T22" s="44">
        <v>478500.00000000006</v>
      </c>
      <c r="U22" s="44"/>
      <c r="V22" s="44"/>
    </row>
    <row r="23" spans="1:32" ht="14.25" x14ac:dyDescent="0.15">
      <c r="A23" s="105" t="s">
        <v>147</v>
      </c>
      <c r="B23" s="42">
        <v>650000</v>
      </c>
      <c r="C23" s="42">
        <v>845000</v>
      </c>
      <c r="D23" s="42">
        <v>910000</v>
      </c>
      <c r="E23" s="42">
        <v>975000</v>
      </c>
      <c r="F23" s="42">
        <v>1040000</v>
      </c>
      <c r="G23" s="42">
        <v>487500</v>
      </c>
      <c r="H23" s="42">
        <v>633750</v>
      </c>
      <c r="I23" s="42">
        <v>682500</v>
      </c>
      <c r="J23" s="42">
        <v>731250</v>
      </c>
      <c r="K23" s="42">
        <v>780000</v>
      </c>
      <c r="L23" s="44">
        <v>357500</v>
      </c>
      <c r="M23" s="44" t="s">
        <v>1167</v>
      </c>
      <c r="N23" s="44" t="s">
        <v>1185</v>
      </c>
      <c r="O23" s="44" t="s">
        <v>1168</v>
      </c>
      <c r="P23" s="42">
        <v>30000</v>
      </c>
      <c r="Q23" s="44"/>
      <c r="R23" s="44">
        <v>1100000</v>
      </c>
      <c r="S23" s="44">
        <v>825000</v>
      </c>
      <c r="T23" s="44">
        <v>605000</v>
      </c>
      <c r="U23" s="44"/>
      <c r="V23" s="44"/>
    </row>
    <row r="24" spans="1:32" ht="14.25" x14ac:dyDescent="0.15">
      <c r="A24" s="105" t="s">
        <v>153</v>
      </c>
      <c r="B24" s="42">
        <v>850000</v>
      </c>
      <c r="C24" s="42">
        <v>1105000</v>
      </c>
      <c r="D24" s="42">
        <v>1190000</v>
      </c>
      <c r="E24" s="42">
        <v>1275000</v>
      </c>
      <c r="F24" s="42">
        <v>1360000</v>
      </c>
      <c r="G24" s="42">
        <v>637500</v>
      </c>
      <c r="H24" s="42">
        <v>828750</v>
      </c>
      <c r="I24" s="42">
        <v>892500</v>
      </c>
      <c r="J24" s="42">
        <v>956250</v>
      </c>
      <c r="K24" s="42">
        <v>1020000</v>
      </c>
      <c r="L24" s="44">
        <v>467500</v>
      </c>
      <c r="M24" s="44" t="s">
        <v>1167</v>
      </c>
      <c r="N24" s="44" t="s">
        <v>1185</v>
      </c>
      <c r="O24" s="44" t="s">
        <v>1168</v>
      </c>
      <c r="P24" s="42">
        <v>30000</v>
      </c>
      <c r="Q24" s="44"/>
      <c r="R24" s="44">
        <v>1500000</v>
      </c>
      <c r="S24" s="44">
        <v>1125000</v>
      </c>
      <c r="T24" s="44">
        <v>825000.00000000012</v>
      </c>
      <c r="U24" s="44"/>
      <c r="V24" s="44"/>
    </row>
    <row r="25" spans="1:32" ht="15" x14ac:dyDescent="0.15">
      <c r="A25" s="48"/>
      <c r="B25" s="48"/>
      <c r="C25" s="49"/>
      <c r="D25" s="49"/>
      <c r="E25" s="49"/>
      <c r="F25" s="49"/>
      <c r="G25" s="49"/>
      <c r="H25" s="49"/>
      <c r="I25" s="49"/>
      <c r="J25" s="49"/>
      <c r="K25" s="49"/>
      <c r="L25" s="49"/>
      <c r="M25" s="49"/>
      <c r="N25" s="49"/>
      <c r="O25" s="49"/>
      <c r="P25" s="49"/>
      <c r="Q25" s="50"/>
      <c r="R25" s="47"/>
      <c r="V25" s="50"/>
      <c r="W25" s="258"/>
      <c r="X25" s="258"/>
      <c r="Y25" s="258"/>
      <c r="Z25" s="258"/>
      <c r="AA25" s="258"/>
      <c r="AB25" s="258"/>
      <c r="AC25" s="258"/>
      <c r="AD25" s="258"/>
      <c r="AE25" s="258"/>
      <c r="AF25" s="258"/>
    </row>
    <row r="26" spans="1:32" ht="15" x14ac:dyDescent="0.15">
      <c r="A26" s="133"/>
      <c r="B26" s="258"/>
      <c r="C26" s="258"/>
      <c r="D26" s="258"/>
      <c r="E26" s="258"/>
      <c r="F26" s="258"/>
      <c r="G26" s="258"/>
      <c r="H26" s="258"/>
      <c r="I26" s="258"/>
      <c r="J26" s="258"/>
      <c r="K26" s="258"/>
      <c r="L26" s="258"/>
      <c r="M26" s="258"/>
      <c r="N26" s="258"/>
      <c r="O26" s="258"/>
      <c r="P26" s="258"/>
      <c r="Q26" s="258"/>
      <c r="R26" s="258"/>
      <c r="S26" s="258"/>
      <c r="T26" s="258"/>
      <c r="U26" s="258"/>
      <c r="V26" s="258"/>
    </row>
    <row r="27" spans="1:32" x14ac:dyDescent="0.15">
      <c r="A27" s="133"/>
    </row>
    <row r="28" spans="1:32" x14ac:dyDescent="0.15">
      <c r="A28" s="133"/>
    </row>
    <row r="29" spans="1:32" ht="15.75" x14ac:dyDescent="0.15">
      <c r="A29" s="133"/>
      <c r="R29" s="97"/>
    </row>
    <row r="30" spans="1:32" ht="15.75" x14ac:dyDescent="0.15">
      <c r="A30" s="133"/>
      <c r="G30" s="97"/>
      <c r="H30" s="97"/>
      <c r="I30" s="97"/>
      <c r="J30" s="97"/>
      <c r="K30" s="97"/>
      <c r="L30" s="97"/>
      <c r="M30" s="97"/>
      <c r="N30" s="97"/>
      <c r="O30" s="97"/>
      <c r="P30" s="97"/>
      <c r="Q30" s="97"/>
      <c r="R30" s="97"/>
      <c r="V30" s="97"/>
    </row>
    <row r="31" spans="1:32" ht="15.75" x14ac:dyDescent="0.15">
      <c r="A31" s="133"/>
      <c r="G31" s="97"/>
      <c r="H31" s="97"/>
      <c r="I31" s="97"/>
      <c r="J31" s="97"/>
      <c r="K31" s="97"/>
      <c r="L31" s="97"/>
      <c r="M31" s="97"/>
      <c r="N31" s="97"/>
      <c r="O31" s="97"/>
      <c r="P31" s="97"/>
      <c r="Q31" s="97"/>
      <c r="R31" s="97"/>
      <c r="V31" s="97"/>
    </row>
    <row r="32" spans="1:32" ht="15.75" x14ac:dyDescent="0.15">
      <c r="A32" s="133"/>
      <c r="G32" s="97"/>
      <c r="H32" s="97"/>
      <c r="I32" s="97"/>
      <c r="J32" s="97"/>
      <c r="K32" s="97"/>
      <c r="L32" s="97"/>
      <c r="M32" s="97"/>
      <c r="N32" s="97"/>
      <c r="O32" s="97"/>
      <c r="P32" s="97"/>
      <c r="Q32" s="97"/>
      <c r="R32" s="97"/>
      <c r="V32" s="97"/>
    </row>
    <row r="33" spans="1:22" ht="15.75" x14ac:dyDescent="0.15">
      <c r="A33" s="133"/>
      <c r="G33" s="97"/>
      <c r="H33" s="97"/>
      <c r="I33" s="97"/>
      <c r="J33" s="97"/>
      <c r="K33" s="97"/>
      <c r="L33" s="97"/>
      <c r="M33" s="97"/>
      <c r="N33" s="97"/>
      <c r="O33" s="97"/>
      <c r="P33" s="97"/>
      <c r="Q33" s="97"/>
      <c r="R33" s="97"/>
      <c r="V33" s="97"/>
    </row>
    <row r="34" spans="1:22" ht="15.75" x14ac:dyDescent="0.15">
      <c r="A34" s="133"/>
      <c r="G34" s="97"/>
      <c r="H34" s="97"/>
      <c r="I34" s="97"/>
      <c r="J34" s="97"/>
      <c r="K34" s="97"/>
      <c r="L34" s="97"/>
      <c r="M34" s="97"/>
      <c r="N34" s="97"/>
      <c r="O34" s="97"/>
      <c r="P34" s="97"/>
      <c r="Q34" s="97"/>
      <c r="R34" s="97"/>
      <c r="V34" s="97"/>
    </row>
    <row r="35" spans="1:22" ht="15.75" x14ac:dyDescent="0.15">
      <c r="A35" s="133"/>
      <c r="G35" s="97"/>
      <c r="H35" s="97"/>
      <c r="I35" s="97"/>
      <c r="J35" s="97"/>
      <c r="K35" s="97"/>
      <c r="L35" s="97"/>
      <c r="M35" s="97"/>
      <c r="N35" s="97"/>
      <c r="O35" s="97"/>
      <c r="P35" s="97"/>
      <c r="Q35" s="97"/>
      <c r="R35" s="97"/>
      <c r="V35" s="97"/>
    </row>
    <row r="36" spans="1:22" ht="15.75" x14ac:dyDescent="0.15">
      <c r="A36" s="133"/>
      <c r="G36" s="97"/>
      <c r="H36" s="97"/>
      <c r="I36" s="97"/>
      <c r="J36" s="97"/>
      <c r="K36" s="97"/>
      <c r="L36" s="97"/>
      <c r="M36" s="97"/>
      <c r="N36" s="97"/>
      <c r="O36" s="97"/>
      <c r="P36" s="97"/>
      <c r="Q36" s="97"/>
      <c r="R36" s="97"/>
      <c r="V36" s="97"/>
    </row>
    <row r="37" spans="1:22" ht="15.75" x14ac:dyDescent="0.15">
      <c r="A37" s="133"/>
      <c r="G37" s="97"/>
      <c r="H37" s="97"/>
      <c r="I37" s="97"/>
      <c r="J37" s="97"/>
      <c r="K37" s="97"/>
      <c r="L37" s="97"/>
      <c r="M37" s="97"/>
      <c r="N37" s="97"/>
      <c r="O37" s="97"/>
      <c r="P37" s="97"/>
      <c r="Q37" s="97"/>
      <c r="R37" s="97"/>
      <c r="V37" s="97"/>
    </row>
    <row r="38" spans="1:22" ht="15.75" x14ac:dyDescent="0.15">
      <c r="A38" s="133"/>
      <c r="G38" s="97"/>
      <c r="H38" s="97"/>
      <c r="I38" s="97"/>
      <c r="J38" s="97"/>
      <c r="K38" s="97"/>
      <c r="L38" s="97"/>
      <c r="M38" s="97"/>
      <c r="N38" s="97"/>
      <c r="O38" s="97"/>
      <c r="P38" s="97"/>
      <c r="Q38" s="97"/>
      <c r="R38" s="97"/>
      <c r="V38" s="97"/>
    </row>
    <row r="39" spans="1:22" ht="15.75" x14ac:dyDescent="0.15">
      <c r="A39" s="133"/>
      <c r="G39" s="97"/>
      <c r="H39" s="97"/>
      <c r="I39" s="97"/>
      <c r="J39" s="97"/>
      <c r="K39" s="97"/>
      <c r="L39" s="97"/>
      <c r="M39" s="97"/>
      <c r="N39" s="97"/>
      <c r="O39" s="97"/>
      <c r="P39" s="97"/>
      <c r="Q39" s="97"/>
      <c r="R39" s="97"/>
      <c r="V39" s="97"/>
    </row>
    <row r="40" spans="1:22" ht="15.75" x14ac:dyDescent="0.15">
      <c r="A40" s="133"/>
      <c r="G40" s="97"/>
      <c r="H40" s="97"/>
      <c r="I40" s="97"/>
      <c r="J40" s="97"/>
      <c r="K40" s="97"/>
      <c r="L40" s="97"/>
      <c r="M40" s="97"/>
      <c r="N40" s="97"/>
      <c r="O40" s="97"/>
      <c r="P40" s="97"/>
      <c r="Q40" s="97"/>
      <c r="R40" s="97"/>
      <c r="V40" s="97"/>
    </row>
    <row r="41" spans="1:22" ht="15.75" x14ac:dyDescent="0.15">
      <c r="A41" s="133"/>
      <c r="C41" s="97"/>
      <c r="D41" s="97"/>
      <c r="E41" s="97"/>
      <c r="F41" s="97"/>
      <c r="G41" s="97"/>
      <c r="H41" s="97"/>
      <c r="I41" s="97"/>
      <c r="J41" s="97"/>
      <c r="K41" s="97"/>
      <c r="L41" s="97"/>
      <c r="M41" s="97"/>
      <c r="N41" s="97"/>
      <c r="O41" s="97"/>
      <c r="P41" s="97"/>
      <c r="Q41" s="97"/>
      <c r="R41" s="97"/>
      <c r="V41" s="97"/>
    </row>
    <row r="42" spans="1:22" ht="15.75" x14ac:dyDescent="0.15">
      <c r="A42" s="133"/>
      <c r="C42" s="97"/>
      <c r="D42" s="97"/>
      <c r="E42" s="97"/>
      <c r="F42" s="97"/>
      <c r="G42" s="97"/>
      <c r="H42" s="97"/>
      <c r="I42" s="97"/>
      <c r="J42" s="97"/>
      <c r="K42" s="97"/>
      <c r="L42" s="97"/>
      <c r="M42" s="97"/>
      <c r="N42" s="97"/>
      <c r="O42" s="97"/>
      <c r="P42" s="97"/>
      <c r="Q42" s="97"/>
      <c r="R42" s="97"/>
      <c r="V42" s="97"/>
    </row>
    <row r="43" spans="1:22" ht="15.75" x14ac:dyDescent="0.15">
      <c r="A43" s="133"/>
      <c r="C43" s="97"/>
      <c r="D43" s="97"/>
      <c r="E43" s="97"/>
      <c r="F43" s="97"/>
      <c r="G43" s="97"/>
      <c r="H43" s="97"/>
      <c r="I43" s="97"/>
      <c r="J43" s="97"/>
      <c r="K43" s="97"/>
      <c r="L43" s="97"/>
      <c r="M43" s="97"/>
      <c r="N43" s="97"/>
      <c r="O43" s="97"/>
      <c r="P43" s="97"/>
      <c r="Q43" s="97"/>
      <c r="R43" s="97"/>
      <c r="V43" s="97"/>
    </row>
    <row r="44" spans="1:22" ht="15.75" x14ac:dyDescent="0.15">
      <c r="A44" s="133"/>
      <c r="C44" s="97"/>
      <c r="D44" s="97"/>
      <c r="E44" s="97"/>
      <c r="F44" s="97"/>
      <c r="G44" s="97"/>
      <c r="H44" s="97"/>
      <c r="I44" s="97"/>
      <c r="J44" s="97"/>
      <c r="K44" s="97"/>
      <c r="L44" s="97"/>
      <c r="M44" s="97"/>
      <c r="N44" s="97"/>
      <c r="O44" s="97"/>
      <c r="P44" s="97"/>
      <c r="Q44" s="97"/>
      <c r="R44" s="97"/>
      <c r="V44" s="97"/>
    </row>
    <row r="45" spans="1:22" ht="15.75" x14ac:dyDescent="0.15">
      <c r="A45" s="133"/>
      <c r="C45" s="97"/>
      <c r="D45" s="97"/>
      <c r="E45" s="97"/>
      <c r="F45" s="97"/>
      <c r="G45" s="97"/>
      <c r="H45" s="97"/>
      <c r="I45" s="97"/>
      <c r="J45" s="97"/>
      <c r="K45" s="97"/>
      <c r="L45" s="97"/>
      <c r="M45" s="97"/>
      <c r="N45" s="97"/>
      <c r="O45" s="97"/>
      <c r="P45" s="97"/>
      <c r="Q45" s="97"/>
      <c r="R45" s="97"/>
      <c r="V45" s="97"/>
    </row>
    <row r="46" spans="1:22" ht="15.75" x14ac:dyDescent="0.15">
      <c r="A46" s="133"/>
      <c r="C46" s="97"/>
      <c r="D46" s="97"/>
      <c r="E46" s="97"/>
      <c r="F46" s="97"/>
      <c r="G46" s="97"/>
      <c r="H46" s="97"/>
      <c r="I46" s="97"/>
      <c r="J46" s="97"/>
      <c r="K46" s="97"/>
      <c r="L46" s="97"/>
      <c r="M46" s="97"/>
      <c r="N46" s="97"/>
      <c r="O46" s="97"/>
      <c r="P46" s="97"/>
      <c r="Q46" s="97"/>
      <c r="R46" s="97"/>
      <c r="V46" s="97"/>
    </row>
    <row r="47" spans="1:22" ht="15.75" x14ac:dyDescent="0.15">
      <c r="A47" s="133"/>
      <c r="C47" s="97"/>
      <c r="D47" s="97"/>
      <c r="E47" s="97"/>
      <c r="F47" s="97"/>
      <c r="G47" s="97"/>
      <c r="H47" s="97"/>
      <c r="I47" s="97"/>
      <c r="J47" s="97"/>
      <c r="K47" s="97"/>
      <c r="L47" s="97"/>
      <c r="M47" s="97"/>
      <c r="N47" s="97"/>
      <c r="O47" s="97"/>
      <c r="P47" s="97"/>
      <c r="Q47" s="97"/>
      <c r="R47" s="97"/>
      <c r="V47" s="97"/>
    </row>
    <row r="48" spans="1:22" ht="15.75" x14ac:dyDescent="0.15">
      <c r="A48" s="133"/>
      <c r="C48" s="97"/>
      <c r="D48" s="97"/>
      <c r="E48" s="97"/>
      <c r="F48" s="97"/>
      <c r="G48" s="97"/>
      <c r="H48" s="97"/>
      <c r="I48" s="97"/>
      <c r="J48" s="97"/>
      <c r="K48" s="97"/>
      <c r="L48" s="97"/>
      <c r="M48" s="97"/>
      <c r="N48" s="97"/>
      <c r="O48" s="97"/>
      <c r="P48" s="97"/>
      <c r="Q48" s="97"/>
      <c r="R48" s="97"/>
      <c r="V48" s="97"/>
    </row>
    <row r="49" spans="1:22" ht="15.75" x14ac:dyDescent="0.15">
      <c r="A49" s="133"/>
      <c r="C49" s="97"/>
      <c r="D49" s="97"/>
      <c r="E49" s="97"/>
      <c r="F49" s="97"/>
      <c r="G49" s="97"/>
      <c r="H49" s="97"/>
      <c r="I49" s="97"/>
      <c r="J49" s="97"/>
      <c r="K49" s="97"/>
      <c r="L49" s="97"/>
      <c r="M49" s="97"/>
      <c r="N49" s="97"/>
      <c r="O49" s="97"/>
      <c r="P49" s="97"/>
      <c r="Q49" s="97"/>
      <c r="R49" s="97"/>
      <c r="V49" s="97"/>
    </row>
    <row r="50" spans="1:22" ht="15.75" x14ac:dyDescent="0.15">
      <c r="A50" s="133"/>
      <c r="B50" s="97"/>
      <c r="C50" s="97"/>
      <c r="D50" s="97"/>
      <c r="E50" s="97"/>
      <c r="F50" s="97"/>
      <c r="G50" s="97"/>
      <c r="H50" s="97"/>
      <c r="I50" s="97"/>
      <c r="J50" s="97"/>
      <c r="K50" s="97"/>
      <c r="L50" s="97"/>
      <c r="M50" s="97"/>
      <c r="N50" s="97"/>
      <c r="O50" s="97"/>
      <c r="P50" s="97"/>
      <c r="Q50" s="97"/>
      <c r="R50" s="97"/>
      <c r="V50" s="97"/>
    </row>
    <row r="51" spans="1:22" ht="15.75" x14ac:dyDescent="0.15">
      <c r="A51" s="133"/>
      <c r="B51" s="97"/>
      <c r="C51" s="97"/>
      <c r="D51" s="97"/>
      <c r="E51" s="97"/>
      <c r="F51" s="97"/>
      <c r="G51" s="97"/>
      <c r="H51" s="97"/>
      <c r="I51" s="97"/>
      <c r="J51" s="97"/>
      <c r="K51" s="97"/>
      <c r="L51" s="97"/>
      <c r="M51" s="97"/>
      <c r="N51" s="97"/>
      <c r="O51" s="97"/>
      <c r="P51" s="97"/>
      <c r="Q51" s="97"/>
      <c r="R51" s="97"/>
      <c r="V51" s="97"/>
    </row>
    <row r="52" spans="1:22" ht="15.75" x14ac:dyDescent="0.15">
      <c r="A52" s="97"/>
      <c r="B52" s="97"/>
      <c r="C52" s="97"/>
      <c r="D52" s="97"/>
      <c r="E52" s="97"/>
      <c r="F52" s="97"/>
      <c r="G52" s="97"/>
      <c r="H52" s="97"/>
      <c r="I52" s="97"/>
      <c r="J52" s="97"/>
      <c r="K52" s="97"/>
      <c r="L52" s="97"/>
      <c r="M52" s="97"/>
      <c r="N52" s="97"/>
      <c r="O52" s="97"/>
      <c r="P52" s="97"/>
      <c r="Q52" s="97"/>
      <c r="R52" s="97"/>
      <c r="V52" s="97"/>
    </row>
    <row r="53" spans="1:22" ht="15.75" x14ac:dyDescent="0.15">
      <c r="A53" s="97"/>
      <c r="B53" s="97"/>
      <c r="C53" s="97"/>
      <c r="D53" s="97"/>
      <c r="E53" s="97"/>
      <c r="F53" s="97"/>
      <c r="G53" s="97"/>
      <c r="H53" s="97"/>
      <c r="I53" s="97"/>
      <c r="J53" s="97"/>
      <c r="K53" s="97"/>
      <c r="L53" s="97"/>
      <c r="M53" s="97"/>
      <c r="N53" s="97"/>
      <c r="O53" s="97"/>
      <c r="P53" s="97"/>
      <c r="Q53" s="97"/>
      <c r="R53" s="97"/>
      <c r="V53" s="97"/>
    </row>
    <row r="54" spans="1:22" ht="15.75" x14ac:dyDescent="0.15">
      <c r="A54" s="97"/>
      <c r="B54" s="97"/>
      <c r="C54" s="97"/>
      <c r="D54" s="97"/>
      <c r="E54" s="97"/>
      <c r="F54" s="97"/>
      <c r="G54" s="97"/>
      <c r="H54" s="97"/>
      <c r="I54" s="97"/>
      <c r="J54" s="97"/>
      <c r="K54" s="97"/>
      <c r="L54" s="97"/>
      <c r="M54" s="97"/>
      <c r="N54" s="97"/>
      <c r="O54" s="97"/>
      <c r="P54" s="97"/>
      <c r="Q54" s="97"/>
      <c r="R54" s="97"/>
      <c r="V54" s="97"/>
    </row>
    <row r="55" spans="1:22" x14ac:dyDescent="0.15">
      <c r="A55" s="66"/>
      <c r="B55" s="66"/>
      <c r="C55" s="66"/>
      <c r="D55" s="66"/>
      <c r="E55" s="66"/>
      <c r="F55" s="66"/>
      <c r="G55" s="66"/>
      <c r="H55" s="66"/>
      <c r="I55" s="66"/>
      <c r="J55" s="66"/>
      <c r="K55" s="66"/>
      <c r="L55" s="66"/>
      <c r="M55" s="66"/>
      <c r="N55" s="66"/>
      <c r="O55" s="66"/>
      <c r="P55" s="66"/>
      <c r="Q55" s="66"/>
      <c r="R55" s="66"/>
      <c r="V55" s="66"/>
    </row>
    <row r="56" spans="1:22" ht="15.75" x14ac:dyDescent="0.15">
      <c r="A56" s="97"/>
      <c r="B56" s="97"/>
      <c r="C56" s="97"/>
      <c r="D56" s="97"/>
      <c r="E56" s="97"/>
      <c r="F56" s="97"/>
      <c r="G56" s="97"/>
      <c r="H56" s="97"/>
      <c r="I56" s="97"/>
      <c r="J56" s="97"/>
      <c r="K56" s="97"/>
      <c r="L56" s="97"/>
      <c r="M56" s="97"/>
      <c r="N56" s="97"/>
      <c r="O56" s="97"/>
      <c r="P56" s="97"/>
      <c r="Q56" s="97"/>
      <c r="R56" s="97"/>
      <c r="V56" s="97"/>
    </row>
    <row r="57" spans="1:22" ht="15.75" x14ac:dyDescent="0.15">
      <c r="A57" s="97"/>
      <c r="B57" s="97"/>
      <c r="C57" s="97"/>
      <c r="D57" s="97"/>
      <c r="E57" s="97"/>
      <c r="F57" s="97"/>
      <c r="G57" s="97"/>
      <c r="H57" s="97"/>
      <c r="I57" s="97"/>
      <c r="J57" s="97"/>
      <c r="K57" s="97"/>
      <c r="L57" s="97"/>
      <c r="M57" s="97"/>
      <c r="N57" s="97"/>
      <c r="O57" s="97"/>
      <c r="P57" s="97"/>
      <c r="Q57" s="97"/>
      <c r="R57" s="97"/>
      <c r="V57" s="97"/>
    </row>
    <row r="58" spans="1:22" x14ac:dyDescent="0.15">
      <c r="A58" s="66"/>
      <c r="B58" s="66"/>
      <c r="C58" s="66"/>
      <c r="D58" s="66"/>
      <c r="E58" s="66"/>
      <c r="F58" s="66"/>
      <c r="G58" s="66"/>
      <c r="H58" s="66"/>
      <c r="I58" s="66"/>
      <c r="J58" s="66"/>
      <c r="K58" s="66"/>
      <c r="L58" s="66"/>
      <c r="M58" s="66"/>
      <c r="N58" s="66"/>
      <c r="O58" s="66"/>
      <c r="P58" s="66"/>
      <c r="Q58" s="66"/>
      <c r="R58" s="66"/>
      <c r="V58" s="66"/>
    </row>
  </sheetData>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C9685-7379-4F5B-B3AA-BCB275C4B9AA}">
  <sheetPr>
    <tabColor theme="0" tint="-0.499984740745262"/>
  </sheetPr>
  <dimension ref="A1:Z29"/>
  <sheetViews>
    <sheetView topLeftCell="B9" workbookViewId="0">
      <selection activeCell="C18" sqref="C18:D18"/>
    </sheetView>
  </sheetViews>
  <sheetFormatPr defaultColWidth="16.125" defaultRowHeight="12" x14ac:dyDescent="0.15"/>
  <cols>
    <col min="1" max="1" width="34" style="275" customWidth="1"/>
    <col min="2" max="2" width="16.125" style="275"/>
    <col min="3" max="3" width="46" style="275" customWidth="1"/>
    <col min="4" max="4" width="16.125" style="276"/>
    <col min="5" max="5" width="44.5" style="275" customWidth="1"/>
    <col min="6" max="6" width="16.125" style="276"/>
    <col min="7" max="7" width="29.5" style="275" customWidth="1"/>
    <col min="8" max="8" width="16.125" style="276"/>
    <col min="9" max="9" width="56.875" style="275" customWidth="1"/>
    <col min="10" max="10" width="50.125" style="275" customWidth="1"/>
    <col min="11" max="11" width="36.875" style="275" customWidth="1"/>
    <col min="12" max="12" width="42" style="275" customWidth="1"/>
    <col min="13" max="13" width="39.75" style="275" customWidth="1"/>
    <col min="14" max="14" width="50.375" style="275" customWidth="1"/>
    <col min="15" max="18" width="25.625" style="275" customWidth="1"/>
    <col min="19" max="16384" width="16.125" style="275"/>
  </cols>
  <sheetData>
    <row r="1" spans="1:26" ht="30.95" customHeight="1" x14ac:dyDescent="0.15"/>
    <row r="2" spans="1:26" ht="30.95" customHeight="1" x14ac:dyDescent="0.15"/>
    <row r="3" spans="1:26" ht="30.95" customHeight="1" x14ac:dyDescent="0.15">
      <c r="A3" s="272" t="s">
        <v>613</v>
      </c>
      <c r="B3" s="272"/>
      <c r="C3" s="272" t="s">
        <v>614</v>
      </c>
      <c r="D3" s="274"/>
      <c r="E3" s="272" t="s">
        <v>636</v>
      </c>
      <c r="F3" s="274"/>
      <c r="G3" s="277" t="s">
        <v>615</v>
      </c>
      <c r="H3" s="278"/>
    </row>
    <row r="4" spans="1:26" ht="30.95" customHeight="1" x14ac:dyDescent="0.15">
      <c r="A4" s="272"/>
      <c r="B4" s="272"/>
      <c r="C4" s="272"/>
      <c r="D4" s="274"/>
      <c r="E4" s="272"/>
      <c r="F4" s="274"/>
      <c r="G4" s="277"/>
      <c r="H4" s="278"/>
    </row>
    <row r="5" spans="1:26" ht="30.95" customHeight="1" x14ac:dyDescent="0.15">
      <c r="A5" s="273" t="s">
        <v>733</v>
      </c>
      <c r="B5" s="279">
        <v>42000</v>
      </c>
      <c r="C5" s="273" t="s">
        <v>736</v>
      </c>
      <c r="D5" s="276">
        <v>84000</v>
      </c>
      <c r="E5" s="272" t="s">
        <v>634</v>
      </c>
      <c r="F5" s="280">
        <v>4000</v>
      </c>
      <c r="G5" s="277" t="s">
        <v>617</v>
      </c>
      <c r="H5" s="276">
        <v>57000</v>
      </c>
    </row>
    <row r="6" spans="1:26" ht="30.95" customHeight="1" x14ac:dyDescent="0.15">
      <c r="A6" s="273" t="s">
        <v>732</v>
      </c>
      <c r="B6" s="279">
        <v>34000</v>
      </c>
      <c r="C6" s="273" t="s">
        <v>737</v>
      </c>
      <c r="D6" s="276">
        <v>100000</v>
      </c>
      <c r="E6" s="272" t="s">
        <v>635</v>
      </c>
      <c r="F6" s="280">
        <v>2000</v>
      </c>
      <c r="G6" s="277" t="s">
        <v>620</v>
      </c>
      <c r="H6" s="276">
        <v>80000</v>
      </c>
    </row>
    <row r="7" spans="1:26" ht="30.95" customHeight="1" x14ac:dyDescent="0.15">
      <c r="A7" s="273" t="s">
        <v>734</v>
      </c>
      <c r="B7" s="279">
        <v>50000</v>
      </c>
      <c r="C7" s="272" t="s">
        <v>628</v>
      </c>
      <c r="D7" s="276">
        <v>450000</v>
      </c>
      <c r="E7" s="272" t="s">
        <v>637</v>
      </c>
      <c r="F7" s="280">
        <v>5000</v>
      </c>
      <c r="G7" s="277" t="s">
        <v>618</v>
      </c>
      <c r="H7" s="276">
        <v>520000</v>
      </c>
    </row>
    <row r="8" spans="1:26" ht="30.95" customHeight="1" x14ac:dyDescent="0.15">
      <c r="A8" s="273" t="s">
        <v>735</v>
      </c>
      <c r="B8" s="279">
        <v>40000</v>
      </c>
      <c r="C8" s="272" t="s">
        <v>623</v>
      </c>
      <c r="D8" s="276">
        <v>130000</v>
      </c>
      <c r="E8" s="272" t="s">
        <v>1128</v>
      </c>
      <c r="F8" s="280">
        <v>500</v>
      </c>
      <c r="G8" s="277"/>
    </row>
    <row r="9" spans="1:26" ht="30.95" customHeight="1" x14ac:dyDescent="0.15">
      <c r="A9" s="272" t="s">
        <v>741</v>
      </c>
      <c r="B9" s="279">
        <v>250000</v>
      </c>
      <c r="C9" s="272" t="s">
        <v>621</v>
      </c>
      <c r="D9" s="276">
        <v>120000</v>
      </c>
      <c r="E9" s="272" t="s">
        <v>1059</v>
      </c>
      <c r="F9" s="276" t="s">
        <v>740</v>
      </c>
      <c r="G9" s="277" t="s">
        <v>630</v>
      </c>
      <c r="H9" s="276">
        <v>20000</v>
      </c>
    </row>
    <row r="10" spans="1:26" ht="30.95" customHeight="1" x14ac:dyDescent="0.15">
      <c r="A10" s="272" t="s">
        <v>626</v>
      </c>
      <c r="B10" s="281">
        <v>60000</v>
      </c>
      <c r="C10" s="272"/>
      <c r="E10" s="272" t="s">
        <v>616</v>
      </c>
      <c r="F10" s="276">
        <v>12000</v>
      </c>
      <c r="G10" s="556" t="s">
        <v>1129</v>
      </c>
      <c r="S10" s="508"/>
      <c r="T10" s="508"/>
      <c r="U10" s="508"/>
      <c r="V10" s="508"/>
      <c r="W10" s="508"/>
      <c r="X10" s="508"/>
      <c r="Y10" s="508"/>
      <c r="Z10" s="508"/>
    </row>
    <row r="11" spans="1:26" ht="30.95" customHeight="1" x14ac:dyDescent="0.15">
      <c r="A11" s="272" t="s">
        <v>627</v>
      </c>
      <c r="B11" s="281">
        <v>70000</v>
      </c>
      <c r="C11" s="272" t="s">
        <v>619</v>
      </c>
      <c r="D11" s="276">
        <v>17000</v>
      </c>
      <c r="E11" s="272" t="s">
        <v>961</v>
      </c>
      <c r="F11" s="276">
        <v>150000</v>
      </c>
      <c r="G11" s="277"/>
      <c r="H11" s="278"/>
      <c r="S11" s="508"/>
      <c r="U11" s="508"/>
      <c r="V11" s="508"/>
      <c r="W11" s="508"/>
      <c r="Y11" s="508"/>
      <c r="Z11" s="508"/>
    </row>
    <row r="12" spans="1:26" ht="30.95" customHeight="1" x14ac:dyDescent="0.15">
      <c r="A12" s="272"/>
      <c r="B12" s="281"/>
      <c r="C12" s="272" t="s">
        <v>622</v>
      </c>
      <c r="D12" s="276">
        <v>17000</v>
      </c>
      <c r="E12" s="272" t="s">
        <v>629</v>
      </c>
      <c r="F12" s="276">
        <v>6000</v>
      </c>
      <c r="G12" s="277" t="s">
        <v>1134</v>
      </c>
      <c r="H12" s="276">
        <f>+H5*0.6</f>
        <v>34200</v>
      </c>
      <c r="S12" s="508"/>
      <c r="U12" s="508"/>
      <c r="V12" s="508"/>
      <c r="W12" s="508"/>
      <c r="Y12" s="508"/>
      <c r="Z12" s="508"/>
    </row>
    <row r="13" spans="1:26" ht="30.95" customHeight="1" x14ac:dyDescent="0.15">
      <c r="A13" s="272" t="s">
        <v>630</v>
      </c>
      <c r="B13" s="281">
        <v>9000</v>
      </c>
      <c r="C13" s="272" t="s">
        <v>624</v>
      </c>
      <c r="D13" s="276">
        <v>13000</v>
      </c>
      <c r="E13" s="272"/>
      <c r="G13" s="277" t="s">
        <v>1132</v>
      </c>
      <c r="H13" s="276">
        <f t="shared" ref="H13:H14" si="0">+H6*0.6</f>
        <v>48000</v>
      </c>
      <c r="K13" s="508"/>
      <c r="L13" s="508"/>
      <c r="M13" s="508"/>
      <c r="N13" s="508"/>
      <c r="O13" s="508"/>
      <c r="P13" s="508"/>
      <c r="Q13" s="508"/>
      <c r="R13" s="508"/>
      <c r="S13" s="508"/>
      <c r="T13" s="508"/>
      <c r="U13" s="508"/>
      <c r="V13" s="508"/>
      <c r="W13" s="508"/>
      <c r="Y13" s="508"/>
      <c r="Z13" s="508"/>
    </row>
    <row r="14" spans="1:26" ht="30.95" customHeight="1" x14ac:dyDescent="0.15">
      <c r="A14" s="272" t="s">
        <v>631</v>
      </c>
      <c r="B14" s="281">
        <v>10000</v>
      </c>
      <c r="E14" s="272" t="s">
        <v>793</v>
      </c>
      <c r="F14" s="276">
        <f>SUM('【手動用】見積書（住宅性能評価）'!K19:K29)*0.2</f>
        <v>0</v>
      </c>
      <c r="G14" s="277" t="s">
        <v>1133</v>
      </c>
      <c r="H14" s="276">
        <f t="shared" si="0"/>
        <v>312000</v>
      </c>
      <c r="K14" s="508"/>
      <c r="L14" s="508"/>
      <c r="M14" s="508"/>
      <c r="O14" s="508"/>
      <c r="P14" s="508"/>
      <c r="Q14" s="508"/>
      <c r="R14" s="508"/>
      <c r="S14" s="508"/>
      <c r="T14" s="508"/>
      <c r="U14" s="508"/>
      <c r="V14" s="508"/>
      <c r="W14" s="508"/>
      <c r="Y14" s="508"/>
      <c r="Z14" s="508"/>
    </row>
    <row r="15" spans="1:26" ht="30.95" customHeight="1" x14ac:dyDescent="0.15">
      <c r="A15" s="272" t="s">
        <v>632</v>
      </c>
      <c r="B15" s="281">
        <v>7000</v>
      </c>
      <c r="E15" s="272" t="s">
        <v>792</v>
      </c>
      <c r="F15" s="276">
        <f>-SUM('【手動用】見積書（住宅性能評価）'!K19:K29)*0.1</f>
        <v>0</v>
      </c>
      <c r="G15" s="277" t="s">
        <v>1136</v>
      </c>
      <c r="H15" s="276">
        <f>+H5*0.4</f>
        <v>22800</v>
      </c>
      <c r="J15" s="508"/>
      <c r="K15" s="508"/>
      <c r="L15" s="508"/>
      <c r="M15" s="508"/>
      <c r="O15" s="508"/>
      <c r="P15" s="508"/>
      <c r="Q15" s="508"/>
      <c r="R15" s="508"/>
      <c r="S15" s="508"/>
      <c r="U15" s="508"/>
      <c r="V15" s="508"/>
      <c r="W15" s="508"/>
      <c r="Y15" s="508"/>
      <c r="Z15" s="508"/>
    </row>
    <row r="16" spans="1:26" ht="30.95" customHeight="1" x14ac:dyDescent="0.15">
      <c r="E16" s="272" t="s">
        <v>791</v>
      </c>
      <c r="F16" s="276" t="s">
        <v>740</v>
      </c>
      <c r="G16" s="277" t="s">
        <v>1135</v>
      </c>
      <c r="H16" s="276">
        <f t="shared" ref="H16:H17" si="1">+H6*0.4</f>
        <v>32000</v>
      </c>
      <c r="K16" s="508"/>
      <c r="L16" s="508"/>
      <c r="M16" s="508"/>
      <c r="O16" s="508"/>
      <c r="P16" s="508"/>
      <c r="Q16" s="508"/>
      <c r="R16" s="508"/>
      <c r="S16" s="508"/>
      <c r="U16" s="508"/>
      <c r="V16" s="508"/>
      <c r="W16" s="508"/>
      <c r="X16" s="508"/>
      <c r="Y16" s="508"/>
      <c r="Z16" s="508"/>
    </row>
    <row r="17" spans="5:26" ht="30.95" customHeight="1" x14ac:dyDescent="0.15">
      <c r="E17" s="272"/>
      <c r="G17" s="277" t="s">
        <v>1130</v>
      </c>
      <c r="H17" s="276">
        <f t="shared" si="1"/>
        <v>208000</v>
      </c>
      <c r="K17" s="508"/>
      <c r="L17" s="508"/>
      <c r="M17" s="508"/>
      <c r="O17" s="508"/>
      <c r="P17" s="508"/>
      <c r="Q17" s="508"/>
      <c r="R17" s="508"/>
      <c r="S17" s="508"/>
      <c r="U17" s="508"/>
      <c r="V17" s="508"/>
      <c r="W17" s="508"/>
      <c r="X17" s="508"/>
      <c r="Y17" s="508"/>
      <c r="Z17" s="508"/>
    </row>
    <row r="18" spans="5:26" ht="30.95" customHeight="1" x14ac:dyDescent="0.15">
      <c r="E18" s="272" t="s">
        <v>787</v>
      </c>
      <c r="F18" s="276">
        <f>-F5-F6</f>
        <v>-6000</v>
      </c>
      <c r="G18" s="277"/>
      <c r="K18" s="508"/>
      <c r="L18" s="508"/>
      <c r="M18" s="508"/>
      <c r="O18" s="508"/>
      <c r="P18" s="508"/>
      <c r="Q18" s="508"/>
      <c r="R18" s="508"/>
      <c r="S18" s="508"/>
      <c r="U18" s="508"/>
      <c r="V18" s="508"/>
      <c r="W18" s="508"/>
      <c r="X18" s="508"/>
      <c r="Y18" s="508"/>
      <c r="Z18" s="508"/>
    </row>
    <row r="19" spans="5:26" ht="30.95" customHeight="1" x14ac:dyDescent="0.15">
      <c r="E19" s="272"/>
      <c r="G19" s="277" t="s">
        <v>1137</v>
      </c>
      <c r="H19" s="276">
        <f>+H9*0.6</f>
        <v>12000</v>
      </c>
      <c r="K19" s="508"/>
      <c r="L19" s="508"/>
      <c r="M19" s="508"/>
      <c r="N19" s="508"/>
      <c r="O19" s="508"/>
      <c r="P19" s="508"/>
      <c r="Q19" s="508"/>
      <c r="R19" s="508"/>
      <c r="S19" s="508"/>
      <c r="U19" s="508"/>
      <c r="V19" s="508"/>
      <c r="W19" s="508"/>
      <c r="X19" s="508"/>
      <c r="Y19" s="508"/>
      <c r="Z19" s="508"/>
    </row>
    <row r="20" spans="5:26" ht="30.95" customHeight="1" x14ac:dyDescent="0.15">
      <c r="E20" s="272" t="s">
        <v>638</v>
      </c>
      <c r="G20" s="277" t="s">
        <v>1131</v>
      </c>
      <c r="H20" s="276">
        <f>+H9*0.4</f>
        <v>8000</v>
      </c>
      <c r="K20" s="508"/>
      <c r="L20" s="508"/>
      <c r="M20" s="508"/>
      <c r="O20" s="508"/>
      <c r="P20" s="508"/>
      <c r="Q20" s="508"/>
      <c r="R20" s="508"/>
      <c r="S20" s="508"/>
      <c r="T20" s="508"/>
      <c r="U20" s="508"/>
      <c r="V20" s="508"/>
      <c r="W20" s="508"/>
      <c r="X20" s="508"/>
      <c r="Y20" s="508"/>
      <c r="Z20" s="508"/>
    </row>
    <row r="21" spans="5:26" ht="30.95" customHeight="1" x14ac:dyDescent="0.15">
      <c r="E21" s="272"/>
      <c r="J21" s="508"/>
      <c r="K21" s="508"/>
      <c r="L21" s="508"/>
      <c r="M21" s="508"/>
      <c r="O21" s="508"/>
      <c r="P21" s="508"/>
      <c r="Q21" s="508"/>
      <c r="R21" s="508"/>
      <c r="S21" s="508"/>
      <c r="U21" s="508"/>
      <c r="V21" s="508"/>
      <c r="W21" s="508"/>
      <c r="X21" s="508"/>
      <c r="Y21" s="508"/>
      <c r="Z21" s="508"/>
    </row>
    <row r="22" spans="5:26" ht="30.95" customHeight="1" x14ac:dyDescent="0.15">
      <c r="E22" s="272" t="s">
        <v>637</v>
      </c>
      <c r="F22" s="276">
        <v>5000</v>
      </c>
      <c r="K22" s="508"/>
      <c r="L22" s="508"/>
      <c r="M22" s="508"/>
      <c r="O22" s="508"/>
      <c r="P22" s="508"/>
      <c r="Q22" s="508"/>
      <c r="R22" s="508"/>
      <c r="S22" s="508"/>
      <c r="U22" s="508"/>
      <c r="V22" s="508"/>
      <c r="W22" s="508"/>
      <c r="X22" s="508"/>
      <c r="Y22" s="508"/>
      <c r="Z22" s="508"/>
    </row>
    <row r="23" spans="5:26" ht="30.95" customHeight="1" x14ac:dyDescent="0.15">
      <c r="K23" s="508"/>
      <c r="L23" s="508"/>
      <c r="M23" s="508"/>
      <c r="O23" s="508"/>
      <c r="P23" s="508"/>
      <c r="Q23" s="508"/>
      <c r="R23" s="508"/>
      <c r="S23" s="508"/>
      <c r="U23" s="508"/>
      <c r="V23" s="508"/>
      <c r="W23" s="508"/>
      <c r="X23" s="508"/>
      <c r="Y23" s="508"/>
      <c r="Z23" s="508"/>
    </row>
    <row r="24" spans="5:26" ht="30.95" customHeight="1" x14ac:dyDescent="0.15">
      <c r="K24" s="508"/>
      <c r="L24" s="508"/>
      <c r="M24" s="508"/>
      <c r="O24" s="508"/>
      <c r="P24" s="508"/>
      <c r="Q24" s="508"/>
      <c r="R24" s="508"/>
      <c r="S24" s="508"/>
      <c r="T24" s="508"/>
      <c r="U24" s="508"/>
      <c r="V24" s="508"/>
      <c r="W24" s="508"/>
      <c r="X24" s="508"/>
      <c r="Y24" s="508"/>
      <c r="Z24" s="508"/>
    </row>
    <row r="25" spans="5:26" ht="30.95" customHeight="1" x14ac:dyDescent="0.15">
      <c r="K25" s="508"/>
      <c r="L25" s="508"/>
      <c r="M25" s="508"/>
      <c r="O25" s="508"/>
      <c r="P25" s="508"/>
      <c r="Q25" s="508"/>
      <c r="R25" s="508"/>
      <c r="S25" s="508"/>
      <c r="T25" s="508"/>
      <c r="U25" s="508"/>
      <c r="V25" s="508"/>
      <c r="W25" s="508"/>
      <c r="X25" s="508"/>
      <c r="Y25" s="508"/>
      <c r="Z25" s="508"/>
    </row>
    <row r="26" spans="5:26" ht="30.95" customHeight="1" x14ac:dyDescent="0.15">
      <c r="K26" s="508"/>
      <c r="L26" s="508"/>
      <c r="M26" s="508"/>
      <c r="O26" s="508"/>
      <c r="P26" s="508"/>
      <c r="Q26" s="508"/>
      <c r="R26" s="508"/>
      <c r="S26" s="508"/>
      <c r="T26" s="508"/>
      <c r="U26" s="508"/>
      <c r="V26" s="508"/>
      <c r="W26" s="508"/>
      <c r="X26" s="508"/>
      <c r="Y26" s="508"/>
      <c r="Z26" s="508"/>
    </row>
    <row r="27" spans="5:26" ht="30.95" customHeight="1" x14ac:dyDescent="0.15">
      <c r="K27" s="508"/>
      <c r="L27" s="508"/>
      <c r="M27" s="508"/>
      <c r="O27" s="508"/>
      <c r="P27" s="508"/>
      <c r="Q27" s="508"/>
      <c r="R27" s="508"/>
      <c r="S27" s="508"/>
      <c r="T27" s="508"/>
      <c r="U27" s="508"/>
      <c r="V27" s="508"/>
      <c r="W27" s="508"/>
      <c r="X27" s="508"/>
      <c r="Y27" s="508"/>
      <c r="Z27" s="508"/>
    </row>
    <row r="28" spans="5:26" ht="30.95" customHeight="1" x14ac:dyDescent="0.15">
      <c r="J28" s="508"/>
      <c r="K28" s="508"/>
      <c r="L28" s="508"/>
      <c r="M28" s="508"/>
      <c r="N28" s="508"/>
      <c r="P28" s="508"/>
      <c r="Q28" s="508"/>
      <c r="R28" s="508"/>
      <c r="S28" s="508"/>
      <c r="T28" s="508"/>
      <c r="U28" s="508"/>
      <c r="V28" s="508"/>
      <c r="W28" s="508"/>
      <c r="X28" s="508"/>
      <c r="Y28" s="508"/>
      <c r="Z28" s="508"/>
    </row>
    <row r="29" spans="5:26" ht="30.95" customHeight="1" x14ac:dyDescent="0.15"/>
  </sheetData>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7FD05-62E1-4409-8DD6-3AF0043E55CF}">
  <sheetPr>
    <tabColor theme="0" tint="-0.499984740745262"/>
  </sheetPr>
  <dimension ref="A1:T42"/>
  <sheetViews>
    <sheetView topLeftCell="A4" workbookViewId="0">
      <selection activeCell="C18" sqref="C18:D18"/>
    </sheetView>
  </sheetViews>
  <sheetFormatPr defaultRowHeight="13.5" x14ac:dyDescent="0.15"/>
  <cols>
    <col min="1" max="1" width="23.375" customWidth="1"/>
    <col min="2" max="2" width="13.75" customWidth="1"/>
    <col min="3" max="5" width="10.625" customWidth="1"/>
    <col min="6" max="6" width="1.25" customWidth="1"/>
    <col min="7" max="7" width="12.375" customWidth="1"/>
    <col min="8" max="9" width="10.625" customWidth="1"/>
    <col min="10" max="10" width="64.875" customWidth="1"/>
    <col min="11" max="11" width="9.375" bestFit="1" customWidth="1"/>
    <col min="12" max="12" width="74.25" customWidth="1"/>
    <col min="13" max="13" width="29.875" customWidth="1"/>
    <col min="14" max="14" width="85.375" customWidth="1"/>
    <col min="15" max="15" width="15.125" customWidth="1"/>
  </cols>
  <sheetData>
    <row r="1" spans="1:15" ht="21" x14ac:dyDescent="0.15">
      <c r="A1" s="196" t="s">
        <v>650</v>
      </c>
      <c r="B1" s="196" t="s">
        <v>129</v>
      </c>
      <c r="C1" s="196"/>
      <c r="D1" s="39"/>
      <c r="E1" s="39"/>
      <c r="F1" s="39"/>
      <c r="G1" s="39"/>
    </row>
    <row r="2" spans="1:15" ht="14.25" x14ac:dyDescent="0.15">
      <c r="A2" s="197" t="s">
        <v>51</v>
      </c>
      <c r="B2" s="197"/>
      <c r="C2" s="197"/>
      <c r="D2" s="67"/>
      <c r="E2" s="67"/>
      <c r="F2" s="67"/>
      <c r="G2" s="67"/>
    </row>
    <row r="3" spans="1:15" x14ac:dyDescent="0.15">
      <c r="A3" s="60"/>
      <c r="B3" s="253" t="s">
        <v>168</v>
      </c>
      <c r="C3" s="255"/>
      <c r="D3" s="256"/>
      <c r="E3" s="256"/>
      <c r="F3" s="239"/>
      <c r="G3" s="240" t="s">
        <v>169</v>
      </c>
      <c r="H3" s="239"/>
      <c r="I3" s="238"/>
      <c r="J3" s="246" t="s">
        <v>178</v>
      </c>
      <c r="K3" s="246"/>
      <c r="L3" s="670" t="s">
        <v>1108</v>
      </c>
      <c r="M3" s="670"/>
      <c r="N3" s="662" t="s">
        <v>728</v>
      </c>
      <c r="O3" s="662"/>
    </row>
    <row r="4" spans="1:15" s="100" customFormat="1" ht="94.5" customHeight="1" x14ac:dyDescent="0.15">
      <c r="A4" s="101"/>
      <c r="B4" s="257" t="s">
        <v>154</v>
      </c>
      <c r="C4" s="257" t="s">
        <v>166</v>
      </c>
      <c r="D4" s="257" t="s">
        <v>167</v>
      </c>
      <c r="E4" s="257" t="s">
        <v>167</v>
      </c>
      <c r="F4" s="237"/>
      <c r="G4" s="237" t="s">
        <v>645</v>
      </c>
      <c r="H4" s="237" t="s">
        <v>646</v>
      </c>
      <c r="I4" s="237" t="s">
        <v>647</v>
      </c>
      <c r="J4" s="245"/>
      <c r="K4" s="241" t="s">
        <v>231</v>
      </c>
      <c r="L4" s="672"/>
      <c r="M4" s="672"/>
      <c r="N4" s="663"/>
      <c r="O4" s="663" t="s">
        <v>231</v>
      </c>
    </row>
    <row r="5" spans="1:15" ht="14.25" x14ac:dyDescent="0.15">
      <c r="A5" s="105" t="s">
        <v>134</v>
      </c>
      <c r="B5" s="42">
        <v>130000</v>
      </c>
      <c r="C5" s="42">
        <v>90000</v>
      </c>
      <c r="D5" s="42">
        <v>70000</v>
      </c>
      <c r="E5" s="42">
        <v>70000</v>
      </c>
      <c r="F5" s="42"/>
      <c r="G5" s="42">
        <v>200000</v>
      </c>
      <c r="H5" s="42">
        <v>200000</v>
      </c>
      <c r="I5" s="42">
        <v>110000</v>
      </c>
      <c r="J5" s="283" t="s">
        <v>656</v>
      </c>
      <c r="K5" s="38">
        <v>43000</v>
      </c>
      <c r="L5" s="678" t="s">
        <v>1120</v>
      </c>
      <c r="M5" s="40" t="s">
        <v>752</v>
      </c>
      <c r="N5" s="662" t="s">
        <v>718</v>
      </c>
      <c r="O5" s="662">
        <v>15000</v>
      </c>
    </row>
    <row r="6" spans="1:15" ht="14.25" x14ac:dyDescent="0.15">
      <c r="A6" s="105" t="s">
        <v>148</v>
      </c>
      <c r="B6" s="42">
        <v>130000</v>
      </c>
      <c r="C6" s="282">
        <v>90000</v>
      </c>
      <c r="D6" s="282">
        <v>70000</v>
      </c>
      <c r="E6" s="282">
        <v>70000</v>
      </c>
      <c r="F6" s="282"/>
      <c r="G6" s="282">
        <v>200000</v>
      </c>
      <c r="H6" s="282">
        <v>200000</v>
      </c>
      <c r="I6" s="282">
        <v>110000</v>
      </c>
      <c r="J6" s="283" t="s">
        <v>657</v>
      </c>
      <c r="K6" s="38">
        <v>48000</v>
      </c>
      <c r="L6" s="671" t="s">
        <v>1114</v>
      </c>
      <c r="M6" s="668">
        <f>SUM('見積書（BELS）'!K19:K32)*0.2</f>
        <v>0</v>
      </c>
      <c r="N6" s="662" t="s">
        <v>719</v>
      </c>
      <c r="O6" s="662">
        <v>14000</v>
      </c>
    </row>
    <row r="7" spans="1:15" ht="14.25" x14ac:dyDescent="0.15">
      <c r="A7" s="105" t="s">
        <v>135</v>
      </c>
      <c r="B7" s="42">
        <v>150000</v>
      </c>
      <c r="C7" s="42">
        <v>110000</v>
      </c>
      <c r="D7" s="42">
        <v>80000</v>
      </c>
      <c r="E7" s="42">
        <v>80000</v>
      </c>
      <c r="F7" s="42"/>
      <c r="G7" s="42">
        <v>240000</v>
      </c>
      <c r="H7" s="42">
        <v>240000</v>
      </c>
      <c r="I7" s="42">
        <v>140000</v>
      </c>
      <c r="J7" s="244" t="s">
        <v>1118</v>
      </c>
      <c r="K7" s="38">
        <v>15000</v>
      </c>
      <c r="L7" s="671" t="s">
        <v>1119</v>
      </c>
      <c r="M7" s="40">
        <v>5000</v>
      </c>
      <c r="N7" s="662" t="s">
        <v>720</v>
      </c>
      <c r="O7" s="662">
        <v>13000</v>
      </c>
    </row>
    <row r="8" spans="1:15" ht="14.25" x14ac:dyDescent="0.15">
      <c r="A8" s="105" t="s">
        <v>136</v>
      </c>
      <c r="B8" s="42">
        <v>150000</v>
      </c>
      <c r="C8" s="42">
        <v>110000</v>
      </c>
      <c r="D8" s="42">
        <v>80000</v>
      </c>
      <c r="E8" s="42">
        <v>80000</v>
      </c>
      <c r="F8" s="42"/>
      <c r="G8" s="42">
        <v>280000</v>
      </c>
      <c r="H8" s="42">
        <v>280000</v>
      </c>
      <c r="I8" s="42">
        <v>160000</v>
      </c>
      <c r="J8" s="242" t="s">
        <v>652</v>
      </c>
      <c r="K8" s="40">
        <v>100000</v>
      </c>
      <c r="L8" s="671" t="s">
        <v>1115</v>
      </c>
      <c r="M8" s="40" t="s">
        <v>740</v>
      </c>
      <c r="N8" s="662" t="s">
        <v>721</v>
      </c>
      <c r="O8" s="662">
        <v>21000</v>
      </c>
    </row>
    <row r="9" spans="1:15" ht="14.25" x14ac:dyDescent="0.15">
      <c r="A9" s="105" t="s">
        <v>137</v>
      </c>
      <c r="B9" s="42">
        <v>190000</v>
      </c>
      <c r="C9" s="42">
        <v>140000</v>
      </c>
      <c r="D9" s="42">
        <v>110000</v>
      </c>
      <c r="E9" s="42">
        <v>110000</v>
      </c>
      <c r="F9" s="42"/>
      <c r="G9" s="42">
        <v>320000</v>
      </c>
      <c r="H9" s="42">
        <v>320000</v>
      </c>
      <c r="I9" s="42">
        <v>180000</v>
      </c>
      <c r="J9" s="242" t="s">
        <v>653</v>
      </c>
      <c r="K9" s="40">
        <v>130000</v>
      </c>
      <c r="L9" s="671" t="s">
        <v>1116</v>
      </c>
      <c r="M9" s="40">
        <v>50000</v>
      </c>
      <c r="N9" s="662" t="s">
        <v>722</v>
      </c>
      <c r="O9" s="662">
        <v>24000</v>
      </c>
    </row>
    <row r="10" spans="1:15" ht="14.25" x14ac:dyDescent="0.15">
      <c r="A10" s="105" t="s">
        <v>138</v>
      </c>
      <c r="B10" s="42">
        <v>220000</v>
      </c>
      <c r="C10" s="42">
        <v>170000</v>
      </c>
      <c r="D10" s="42">
        <v>120000</v>
      </c>
      <c r="E10" s="42">
        <v>120000</v>
      </c>
      <c r="F10" s="42"/>
      <c r="G10" s="42">
        <v>370000</v>
      </c>
      <c r="H10" s="42">
        <v>370000</v>
      </c>
      <c r="I10" s="42">
        <v>210000</v>
      </c>
      <c r="J10" s="242"/>
      <c r="L10" s="667"/>
      <c r="M10" s="667"/>
      <c r="N10" s="662" t="s">
        <v>723</v>
      </c>
      <c r="O10" s="662">
        <v>39000</v>
      </c>
    </row>
    <row r="11" spans="1:15" ht="14.25" x14ac:dyDescent="0.15">
      <c r="A11" s="105" t="s">
        <v>139</v>
      </c>
      <c r="B11" s="42">
        <v>250000</v>
      </c>
      <c r="C11" s="42">
        <v>190000</v>
      </c>
      <c r="D11" s="42">
        <v>140000</v>
      </c>
      <c r="E11" s="42">
        <v>140000</v>
      </c>
      <c r="F11" s="42"/>
      <c r="G11" s="42">
        <v>420000</v>
      </c>
      <c r="H11" s="42">
        <v>420000</v>
      </c>
      <c r="I11" s="42">
        <v>240000</v>
      </c>
      <c r="J11" s="242" t="s">
        <v>654</v>
      </c>
      <c r="K11" s="40">
        <v>4000</v>
      </c>
      <c r="L11" s="668"/>
      <c r="M11" s="668"/>
      <c r="N11" s="662" t="s">
        <v>724</v>
      </c>
      <c r="O11" s="662">
        <v>48000</v>
      </c>
    </row>
    <row r="12" spans="1:15" ht="14.25" x14ac:dyDescent="0.15">
      <c r="A12" s="105" t="s">
        <v>140</v>
      </c>
      <c r="B12" s="42">
        <v>280000</v>
      </c>
      <c r="C12" s="42">
        <v>210000</v>
      </c>
      <c r="D12" s="42">
        <v>150000</v>
      </c>
      <c r="E12" s="42">
        <v>150000</v>
      </c>
      <c r="F12" s="42"/>
      <c r="G12" s="42">
        <v>460000</v>
      </c>
      <c r="H12" s="42">
        <v>460000</v>
      </c>
      <c r="I12" s="42">
        <v>260000</v>
      </c>
      <c r="J12" s="242" t="s">
        <v>655</v>
      </c>
      <c r="K12" s="667">
        <v>3000</v>
      </c>
      <c r="L12" s="667"/>
      <c r="M12" s="667"/>
      <c r="N12" s="662" t="s">
        <v>725</v>
      </c>
      <c r="O12" s="662">
        <v>7000</v>
      </c>
    </row>
    <row r="13" spans="1:15" ht="14.25" x14ac:dyDescent="0.15">
      <c r="A13" s="105" t="s">
        <v>141</v>
      </c>
      <c r="B13" s="42">
        <v>300000</v>
      </c>
      <c r="C13" s="42">
        <v>230000</v>
      </c>
      <c r="D13" s="42">
        <v>160000</v>
      </c>
      <c r="E13" s="42">
        <v>160000</v>
      </c>
      <c r="F13" s="42"/>
      <c r="G13" s="42">
        <v>500000</v>
      </c>
      <c r="H13" s="42">
        <v>500000</v>
      </c>
      <c r="I13" s="42">
        <v>280000</v>
      </c>
      <c r="J13" s="242"/>
      <c r="K13" s="667"/>
      <c r="L13" s="667"/>
      <c r="M13" s="667"/>
      <c r="N13" s="662" t="s">
        <v>726</v>
      </c>
      <c r="O13" s="662">
        <v>6000</v>
      </c>
    </row>
    <row r="14" spans="1:15" ht="14.25" x14ac:dyDescent="0.15">
      <c r="A14" s="105" t="s">
        <v>142</v>
      </c>
      <c r="B14" s="42">
        <v>350000</v>
      </c>
      <c r="C14" s="42">
        <v>280000</v>
      </c>
      <c r="D14" s="42">
        <v>170000</v>
      </c>
      <c r="E14" s="42">
        <v>170000</v>
      </c>
      <c r="F14" s="42"/>
      <c r="G14" s="42">
        <v>540000</v>
      </c>
      <c r="H14" s="42">
        <v>540000</v>
      </c>
      <c r="I14" s="42">
        <v>300000</v>
      </c>
      <c r="J14" s="244" t="s">
        <v>1121</v>
      </c>
      <c r="K14" s="668"/>
      <c r="N14" s="662" t="s">
        <v>727</v>
      </c>
      <c r="O14" s="662">
        <v>5000</v>
      </c>
    </row>
    <row r="15" spans="1:15" ht="14.25" x14ac:dyDescent="0.15">
      <c r="A15" s="105" t="s">
        <v>143</v>
      </c>
      <c r="B15" s="42">
        <v>380000</v>
      </c>
      <c r="C15" s="42">
        <v>320000</v>
      </c>
      <c r="D15" s="42">
        <v>180000</v>
      </c>
      <c r="E15" s="42">
        <v>180000</v>
      </c>
      <c r="F15" s="42"/>
      <c r="G15" s="42">
        <v>570000</v>
      </c>
      <c r="H15" s="42">
        <v>570000</v>
      </c>
      <c r="I15" s="42">
        <v>320000</v>
      </c>
      <c r="J15" s="243"/>
      <c r="K15" s="667"/>
    </row>
    <row r="16" spans="1:15" ht="14.25" x14ac:dyDescent="0.15">
      <c r="A16" s="105" t="s">
        <v>149</v>
      </c>
      <c r="B16" s="42" t="s">
        <v>648</v>
      </c>
      <c r="C16" s="42" t="s">
        <v>648</v>
      </c>
      <c r="D16" s="42" t="s">
        <v>648</v>
      </c>
      <c r="E16" s="42" t="s">
        <v>648</v>
      </c>
      <c r="F16" s="42"/>
      <c r="G16" s="42" t="s">
        <v>648</v>
      </c>
      <c r="H16" s="42" t="s">
        <v>648</v>
      </c>
      <c r="I16" s="42" t="s">
        <v>648</v>
      </c>
      <c r="J16" s="243" t="s">
        <v>649</v>
      </c>
      <c r="K16" s="667">
        <v>100000</v>
      </c>
    </row>
    <row r="17" spans="1:20" ht="14.25" x14ac:dyDescent="0.15">
      <c r="A17" s="105" t="s">
        <v>150</v>
      </c>
      <c r="B17" s="42" t="s">
        <v>648</v>
      </c>
      <c r="C17" s="42" t="s">
        <v>648</v>
      </c>
      <c r="D17" s="42" t="s">
        <v>648</v>
      </c>
      <c r="E17" s="42" t="s">
        <v>648</v>
      </c>
      <c r="F17" s="42"/>
      <c r="G17" s="42" t="s">
        <v>648</v>
      </c>
      <c r="H17" s="42" t="s">
        <v>648</v>
      </c>
      <c r="I17" s="42" t="s">
        <v>648</v>
      </c>
      <c r="J17" s="246"/>
      <c r="K17" s="668"/>
    </row>
    <row r="18" spans="1:20" ht="14.25" x14ac:dyDescent="0.15">
      <c r="A18" s="105" t="s">
        <v>144</v>
      </c>
      <c r="B18" s="42" t="s">
        <v>648</v>
      </c>
      <c r="C18" s="42" t="s">
        <v>648</v>
      </c>
      <c r="D18" s="42" t="s">
        <v>648</v>
      </c>
      <c r="E18" s="42" t="s">
        <v>648</v>
      </c>
      <c r="F18" s="42"/>
      <c r="G18" s="42" t="s">
        <v>648</v>
      </c>
      <c r="H18" s="42" t="s">
        <v>648</v>
      </c>
      <c r="I18" s="42" t="s">
        <v>648</v>
      </c>
      <c r="J18" s="664" t="s">
        <v>1112</v>
      </c>
      <c r="K18" s="668" t="s">
        <v>752</v>
      </c>
    </row>
    <row r="19" spans="1:20" ht="14.25" x14ac:dyDescent="0.15">
      <c r="A19" s="105" t="s">
        <v>145</v>
      </c>
      <c r="B19" s="42" t="s">
        <v>648</v>
      </c>
      <c r="C19" s="42" t="s">
        <v>648</v>
      </c>
      <c r="D19" s="42" t="s">
        <v>648</v>
      </c>
      <c r="E19" s="42" t="s">
        <v>648</v>
      </c>
      <c r="F19" s="42"/>
      <c r="G19" s="42" t="s">
        <v>648</v>
      </c>
      <c r="H19" s="42" t="s">
        <v>648</v>
      </c>
      <c r="I19" s="42" t="s">
        <v>648</v>
      </c>
      <c r="J19" s="664" t="s">
        <v>1113</v>
      </c>
      <c r="K19" s="668">
        <f>SUM('見積書（BELS）'!K23:K30)</f>
        <v>0</v>
      </c>
      <c r="L19" s="668"/>
      <c r="M19" s="668"/>
    </row>
    <row r="20" spans="1:20" ht="14.25" x14ac:dyDescent="0.15">
      <c r="A20" s="105" t="s">
        <v>146</v>
      </c>
      <c r="B20" s="42" t="s">
        <v>648</v>
      </c>
      <c r="C20" s="42" t="s">
        <v>648</v>
      </c>
      <c r="D20" s="42" t="s">
        <v>648</v>
      </c>
      <c r="E20" s="42" t="s">
        <v>648</v>
      </c>
      <c r="F20" s="42"/>
      <c r="G20" s="42" t="s">
        <v>648</v>
      </c>
      <c r="H20" s="42" t="s">
        <v>648</v>
      </c>
      <c r="I20" s="42" t="s">
        <v>648</v>
      </c>
      <c r="J20" s="664" t="s">
        <v>1117</v>
      </c>
      <c r="K20" s="668" t="s">
        <v>752</v>
      </c>
    </row>
    <row r="21" spans="1:20" ht="15" x14ac:dyDescent="0.15">
      <c r="A21" s="105" t="s">
        <v>151</v>
      </c>
      <c r="B21" s="42" t="s">
        <v>648</v>
      </c>
      <c r="C21" s="42" t="s">
        <v>648</v>
      </c>
      <c r="D21" s="42" t="s">
        <v>648</v>
      </c>
      <c r="E21" s="42" t="s">
        <v>648</v>
      </c>
      <c r="F21" s="42"/>
      <c r="G21" s="42" t="s">
        <v>648</v>
      </c>
      <c r="H21" s="42" t="s">
        <v>648</v>
      </c>
      <c r="I21" s="42" t="s">
        <v>648</v>
      </c>
      <c r="J21" s="665" t="s">
        <v>1111</v>
      </c>
      <c r="K21" s="668">
        <f>SUM('見積書（BELS）'!K23:K28)/2</f>
        <v>0</v>
      </c>
    </row>
    <row r="22" spans="1:20" ht="14.25" x14ac:dyDescent="0.15">
      <c r="A22" s="105" t="s">
        <v>152</v>
      </c>
      <c r="B22" s="42" t="s">
        <v>648</v>
      </c>
      <c r="C22" s="42" t="s">
        <v>648</v>
      </c>
      <c r="D22" s="42" t="s">
        <v>648</v>
      </c>
      <c r="E22" s="42" t="s">
        <v>648</v>
      </c>
      <c r="F22" s="42"/>
      <c r="G22" s="42" t="s">
        <v>648</v>
      </c>
      <c r="H22" s="42" t="s">
        <v>648</v>
      </c>
      <c r="I22" s="42" t="s">
        <v>648</v>
      </c>
      <c r="J22" s="673" t="s">
        <v>1110</v>
      </c>
      <c r="K22" s="668">
        <f>SUM('見積書（BELS）'!K19:K22)*0.6</f>
        <v>0</v>
      </c>
    </row>
    <row r="23" spans="1:20" ht="14.25" x14ac:dyDescent="0.15">
      <c r="A23" s="105" t="s">
        <v>147</v>
      </c>
      <c r="B23" s="42" t="s">
        <v>648</v>
      </c>
      <c r="C23" s="42" t="s">
        <v>648</v>
      </c>
      <c r="D23" s="42" t="s">
        <v>648</v>
      </c>
      <c r="E23" s="42" t="s">
        <v>648</v>
      </c>
      <c r="F23" s="42"/>
      <c r="G23" s="42" t="s">
        <v>648</v>
      </c>
      <c r="H23" s="42" t="s">
        <v>648</v>
      </c>
      <c r="I23" s="42" t="s">
        <v>648</v>
      </c>
    </row>
    <row r="24" spans="1:20" ht="15" x14ac:dyDescent="0.15">
      <c r="A24" s="105" t="s">
        <v>153</v>
      </c>
      <c r="B24" s="42" t="s">
        <v>648</v>
      </c>
      <c r="C24" s="42" t="s">
        <v>648</v>
      </c>
      <c r="D24" s="42" t="s">
        <v>648</v>
      </c>
      <c r="E24" s="42" t="s">
        <v>648</v>
      </c>
      <c r="F24" s="42"/>
      <c r="G24" s="42" t="s">
        <v>648</v>
      </c>
      <c r="H24" s="42" t="s">
        <v>648</v>
      </c>
      <c r="I24" s="42" t="s">
        <v>648</v>
      </c>
      <c r="L24" s="258"/>
      <c r="M24" s="258"/>
    </row>
    <row r="25" spans="1:20" ht="14.25" x14ac:dyDescent="0.15">
      <c r="A25" s="48"/>
      <c r="B25" s="48"/>
      <c r="C25" s="49"/>
      <c r="D25" s="49"/>
      <c r="E25" s="49"/>
      <c r="F25" s="50"/>
      <c r="G25" s="47"/>
    </row>
    <row r="26" spans="1:20" ht="15" x14ac:dyDescent="0.15">
      <c r="A26" s="258"/>
      <c r="B26" s="258"/>
      <c r="C26" s="258"/>
      <c r="D26" s="258"/>
      <c r="E26" s="258"/>
      <c r="F26" s="258"/>
      <c r="G26" s="258"/>
      <c r="H26" s="258"/>
      <c r="I26" s="258"/>
      <c r="K26" s="258"/>
      <c r="L26" s="669"/>
      <c r="M26" s="669"/>
    </row>
    <row r="27" spans="1:20" x14ac:dyDescent="0.15">
      <c r="L27" s="669"/>
      <c r="M27" s="669"/>
    </row>
    <row r="28" spans="1:20" x14ac:dyDescent="0.15">
      <c r="K28" s="669"/>
      <c r="L28" s="669"/>
      <c r="M28" s="669"/>
    </row>
    <row r="29" spans="1:20" ht="15.75" x14ac:dyDescent="0.15">
      <c r="G29" s="97"/>
      <c r="K29" s="669"/>
      <c r="L29" s="669"/>
      <c r="M29" s="669"/>
      <c r="N29" s="669"/>
      <c r="O29" s="669"/>
      <c r="P29" s="669"/>
      <c r="Q29" s="669"/>
      <c r="R29" s="669"/>
      <c r="S29" s="669"/>
      <c r="T29" s="669"/>
    </row>
    <row r="30" spans="1:20" ht="15.75" x14ac:dyDescent="0.15">
      <c r="C30" s="97"/>
      <c r="D30" s="97"/>
      <c r="E30" s="97"/>
      <c r="F30" s="97"/>
      <c r="G30" s="97"/>
      <c r="K30" s="669"/>
      <c r="L30" s="669"/>
      <c r="M30" s="669"/>
      <c r="N30" s="669"/>
      <c r="O30" s="669"/>
      <c r="P30" s="669"/>
      <c r="Q30" s="669"/>
      <c r="R30" s="669"/>
      <c r="S30" s="669"/>
      <c r="T30" s="669"/>
    </row>
    <row r="31" spans="1:20" ht="15.75" x14ac:dyDescent="0.15">
      <c r="C31" s="97"/>
      <c r="D31" s="97"/>
      <c r="E31" s="97"/>
      <c r="F31" s="97"/>
      <c r="G31" s="97"/>
      <c r="K31" s="669"/>
      <c r="L31" s="669"/>
      <c r="M31" s="669"/>
      <c r="N31" s="669"/>
      <c r="O31" s="669"/>
      <c r="P31" s="669"/>
      <c r="Q31" s="669"/>
      <c r="R31" s="669"/>
      <c r="S31" s="669"/>
      <c r="T31" s="669"/>
    </row>
    <row r="32" spans="1:20" ht="15.75" x14ac:dyDescent="0.15">
      <c r="C32" s="97"/>
      <c r="D32" s="97"/>
      <c r="E32" s="97"/>
      <c r="F32" s="97"/>
      <c r="G32" s="97"/>
      <c r="K32" s="669"/>
      <c r="L32" s="669"/>
      <c r="M32" s="669"/>
      <c r="N32" s="669"/>
      <c r="O32" s="669"/>
      <c r="P32" s="669"/>
      <c r="Q32" s="669"/>
      <c r="R32" s="669"/>
      <c r="S32" s="669"/>
      <c r="T32" s="669"/>
    </row>
    <row r="33" spans="1:20" ht="15.75" x14ac:dyDescent="0.15">
      <c r="C33" s="97"/>
      <c r="D33" s="97"/>
      <c r="E33" s="97"/>
      <c r="F33" s="97"/>
      <c r="G33" s="97"/>
      <c r="K33" s="669"/>
      <c r="L33" s="669"/>
      <c r="M33" s="669"/>
      <c r="N33" s="669"/>
      <c r="O33" s="669"/>
      <c r="P33" s="669"/>
      <c r="Q33" s="669"/>
      <c r="R33" s="669"/>
      <c r="S33" s="669"/>
      <c r="T33" s="669"/>
    </row>
    <row r="34" spans="1:20" ht="15.75" x14ac:dyDescent="0.15">
      <c r="C34" s="97"/>
      <c r="D34" s="97"/>
      <c r="E34" s="97"/>
      <c r="F34" s="97"/>
      <c r="G34" s="97"/>
      <c r="K34" s="669"/>
      <c r="N34" s="669"/>
      <c r="O34" s="669"/>
      <c r="P34" s="669"/>
      <c r="Q34" s="669"/>
      <c r="R34" s="669"/>
      <c r="S34" s="669"/>
      <c r="T34" s="669"/>
    </row>
    <row r="35" spans="1:20" ht="15.75" x14ac:dyDescent="0.15">
      <c r="C35" s="97"/>
      <c r="D35" s="97"/>
      <c r="E35" s="97"/>
      <c r="F35" s="97"/>
      <c r="G35" s="97"/>
      <c r="K35" s="669"/>
      <c r="N35" s="669"/>
      <c r="O35" s="669"/>
      <c r="P35" s="669"/>
      <c r="Q35" s="669"/>
      <c r="R35" s="669"/>
      <c r="S35" s="669"/>
      <c r="T35" s="669"/>
    </row>
    <row r="36" spans="1:20" ht="15.75" x14ac:dyDescent="0.15">
      <c r="C36" s="97"/>
      <c r="D36" s="97"/>
      <c r="E36" s="97"/>
      <c r="F36" s="97"/>
      <c r="G36" s="97"/>
      <c r="N36" s="669"/>
      <c r="O36" s="669"/>
      <c r="P36" s="669"/>
      <c r="Q36" s="669"/>
      <c r="R36" s="669"/>
      <c r="S36" s="669"/>
      <c r="T36" s="669"/>
    </row>
    <row r="37" spans="1:20" ht="15.75" x14ac:dyDescent="0.15">
      <c r="A37" s="97"/>
      <c r="B37" s="97"/>
      <c r="C37" s="97"/>
      <c r="D37" s="97"/>
      <c r="E37" s="97"/>
      <c r="F37" s="97"/>
      <c r="G37" s="97"/>
    </row>
    <row r="38" spans="1:20" ht="15.75" x14ac:dyDescent="0.15">
      <c r="A38" s="97"/>
      <c r="B38" s="97"/>
      <c r="C38" s="97"/>
      <c r="D38" s="97"/>
      <c r="E38" s="97"/>
      <c r="F38" s="97"/>
      <c r="G38" s="97"/>
    </row>
    <row r="39" spans="1:20" ht="15.75" x14ac:dyDescent="0.15">
      <c r="A39" s="97"/>
      <c r="B39" s="97"/>
      <c r="C39" s="97"/>
      <c r="D39" s="97"/>
      <c r="E39" s="97"/>
      <c r="F39" s="97"/>
      <c r="G39" s="97"/>
    </row>
    <row r="40" spans="1:20" ht="15.75" x14ac:dyDescent="0.15">
      <c r="A40" s="97"/>
      <c r="B40" s="97"/>
      <c r="C40" s="97"/>
      <c r="D40" s="97"/>
      <c r="E40" s="97"/>
      <c r="F40" s="97"/>
      <c r="G40" s="97"/>
    </row>
    <row r="41" spans="1:20" ht="15.75" x14ac:dyDescent="0.15">
      <c r="A41" s="97"/>
      <c r="B41" s="97"/>
      <c r="C41" s="97"/>
      <c r="D41" s="97"/>
      <c r="E41" s="97"/>
      <c r="F41" s="97"/>
      <c r="G41" s="97"/>
    </row>
    <row r="42" spans="1:20" x14ac:dyDescent="0.15">
      <c r="A42" s="66"/>
      <c r="B42" s="66"/>
      <c r="C42" s="66"/>
      <c r="D42" s="66"/>
      <c r="E42" s="66"/>
      <c r="F42" s="66"/>
      <c r="G42" s="66"/>
    </row>
  </sheetData>
  <phoneticPr fontId="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9F872-8123-4068-9623-7E268AAEA4D5}">
  <sheetPr>
    <tabColor theme="0" tint="-0.499984740745262"/>
  </sheetPr>
  <dimension ref="A1:C42"/>
  <sheetViews>
    <sheetView workbookViewId="0">
      <selection activeCell="C18" sqref="C18:D18"/>
    </sheetView>
  </sheetViews>
  <sheetFormatPr defaultColWidth="9.125" defaultRowHeight="13.5" x14ac:dyDescent="0.15"/>
  <cols>
    <col min="1" max="1" width="43.75" style="289" customWidth="1"/>
    <col min="2" max="2" width="14.875" style="289" customWidth="1"/>
    <col min="3" max="16384" width="9.125" style="289"/>
  </cols>
  <sheetData>
    <row r="1" spans="1:3" x14ac:dyDescent="0.15">
      <c r="A1" s="288" t="s">
        <v>133</v>
      </c>
    </row>
    <row r="2" spans="1:3" x14ac:dyDescent="0.15">
      <c r="A2" s="288" t="s">
        <v>51</v>
      </c>
    </row>
    <row r="3" spans="1:3" x14ac:dyDescent="0.15">
      <c r="A3" s="287"/>
      <c r="B3" s="295"/>
      <c r="C3" s="295"/>
    </row>
    <row r="4" spans="1:3" s="290" customFormat="1" ht="94.5" customHeight="1" x14ac:dyDescent="0.15">
      <c r="A4" s="296"/>
      <c r="B4" s="297" t="s">
        <v>676</v>
      </c>
      <c r="C4" s="297" t="s">
        <v>677</v>
      </c>
    </row>
    <row r="5" spans="1:3" x14ac:dyDescent="0.15">
      <c r="A5" s="291" t="s">
        <v>671</v>
      </c>
      <c r="B5" s="298">
        <v>45000</v>
      </c>
      <c r="C5" s="298">
        <v>27000</v>
      </c>
    </row>
    <row r="6" spans="1:3" x14ac:dyDescent="0.15">
      <c r="A6" s="291" t="s">
        <v>672</v>
      </c>
      <c r="B6" s="298">
        <v>50000</v>
      </c>
      <c r="C6" s="298">
        <v>30000</v>
      </c>
    </row>
    <row r="7" spans="1:3" x14ac:dyDescent="0.15">
      <c r="A7" s="291" t="s">
        <v>673</v>
      </c>
      <c r="B7" s="299">
        <v>160000</v>
      </c>
      <c r="C7" s="299">
        <v>100000</v>
      </c>
    </row>
    <row r="8" spans="1:3" x14ac:dyDescent="0.15">
      <c r="A8" s="291" t="s">
        <v>674</v>
      </c>
      <c r="B8" s="299">
        <v>200000</v>
      </c>
      <c r="C8" s="299">
        <v>120000</v>
      </c>
    </row>
    <row r="9" spans="1:3" x14ac:dyDescent="0.15">
      <c r="A9" s="291" t="s">
        <v>675</v>
      </c>
      <c r="B9" s="299">
        <v>240000</v>
      </c>
      <c r="C9" s="299">
        <v>140000</v>
      </c>
    </row>
    <row r="10" spans="1:3" x14ac:dyDescent="0.15">
      <c r="A10" s="300"/>
      <c r="B10" s="301"/>
      <c r="C10" s="301"/>
    </row>
    <row r="11" spans="1:3" x14ac:dyDescent="0.15">
      <c r="A11" s="291" t="s">
        <v>679</v>
      </c>
      <c r="B11" s="299">
        <v>6000</v>
      </c>
      <c r="C11" s="299">
        <v>3000</v>
      </c>
    </row>
    <row r="12" spans="1:3" x14ac:dyDescent="0.15">
      <c r="A12" s="291" t="s">
        <v>680</v>
      </c>
      <c r="B12" s="299">
        <v>6000</v>
      </c>
      <c r="C12" s="299">
        <v>3000</v>
      </c>
    </row>
    <row r="13" spans="1:3" x14ac:dyDescent="0.15">
      <c r="A13" s="291" t="s">
        <v>681</v>
      </c>
      <c r="B13" s="299">
        <v>6000</v>
      </c>
      <c r="C13" s="299">
        <v>3000</v>
      </c>
    </row>
    <row r="14" spans="1:3" x14ac:dyDescent="0.15">
      <c r="B14" s="292"/>
      <c r="C14" s="292"/>
    </row>
    <row r="34" spans="1:1" x14ac:dyDescent="0.15">
      <c r="A34" s="293"/>
    </row>
    <row r="35" spans="1:1" x14ac:dyDescent="0.15">
      <c r="A35" s="293"/>
    </row>
    <row r="36" spans="1:1" x14ac:dyDescent="0.15">
      <c r="A36" s="293"/>
    </row>
    <row r="37" spans="1:1" x14ac:dyDescent="0.15">
      <c r="A37" s="293"/>
    </row>
    <row r="38" spans="1:1" x14ac:dyDescent="0.15">
      <c r="A38" s="293"/>
    </row>
    <row r="39" spans="1:1" x14ac:dyDescent="0.15">
      <c r="A39" s="294"/>
    </row>
    <row r="40" spans="1:1" x14ac:dyDescent="0.15">
      <c r="A40" s="293"/>
    </row>
    <row r="41" spans="1:1" x14ac:dyDescent="0.15">
      <c r="A41" s="293"/>
    </row>
    <row r="42" spans="1:1" x14ac:dyDescent="0.15">
      <c r="A42" s="294"/>
    </row>
  </sheetData>
  <phoneticPr fontId="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BDCD2-0E15-438D-A17E-22F131EFDD80}">
  <sheetPr>
    <tabColor theme="0" tint="-0.499984740745262"/>
  </sheetPr>
  <dimension ref="B1:V100"/>
  <sheetViews>
    <sheetView topLeftCell="N1" workbookViewId="0">
      <selection activeCell="C18" sqref="C18:D18"/>
    </sheetView>
  </sheetViews>
  <sheetFormatPr defaultRowHeight="13.5" x14ac:dyDescent="0.15"/>
  <cols>
    <col min="2" max="2" width="59.375" customWidth="1"/>
    <col min="3" max="3" width="18.125" customWidth="1"/>
    <col min="4" max="5" width="15.375" customWidth="1"/>
    <col min="6" max="6" width="18.125" customWidth="1"/>
    <col min="7" max="7" width="15.375" customWidth="1"/>
    <col min="8" max="8" width="18.125" customWidth="1"/>
    <col min="9" max="9" width="15.375" customWidth="1"/>
    <col min="12" max="12" width="59.375" customWidth="1"/>
    <col min="13" max="13" width="43.375" customWidth="1"/>
    <col min="14" max="14" width="46.25" customWidth="1"/>
    <col min="15" max="15" width="39.125" customWidth="1"/>
    <col min="16" max="16" width="42.375" customWidth="1"/>
    <col min="20" max="20" width="89.25" customWidth="1"/>
  </cols>
  <sheetData>
    <row r="1" spans="2:22" ht="21" x14ac:dyDescent="0.15">
      <c r="B1" s="196" t="s">
        <v>682</v>
      </c>
      <c r="C1" s="196" t="s">
        <v>129</v>
      </c>
      <c r="D1" s="39"/>
      <c r="E1" s="39"/>
      <c r="F1" s="196"/>
      <c r="G1" s="39"/>
      <c r="H1" s="196"/>
      <c r="I1" s="39"/>
      <c r="L1" s="196" t="s">
        <v>682</v>
      </c>
      <c r="M1" s="196" t="s">
        <v>129</v>
      </c>
      <c r="N1" s="39"/>
      <c r="O1" s="39"/>
      <c r="P1" s="196"/>
    </row>
    <row r="2" spans="2:22" ht="14.25" x14ac:dyDescent="0.15">
      <c r="B2" s="197" t="s">
        <v>51</v>
      </c>
      <c r="C2" s="197"/>
      <c r="D2" s="67"/>
      <c r="E2" s="67"/>
      <c r="F2" s="197"/>
      <c r="G2" s="67"/>
      <c r="H2" s="197"/>
      <c r="I2" s="67"/>
      <c r="L2" s="197" t="s">
        <v>51</v>
      </c>
      <c r="M2" s="197"/>
      <c r="N2" s="67"/>
      <c r="O2" s="67"/>
      <c r="P2" s="197"/>
      <c r="T2" t="s">
        <v>684</v>
      </c>
      <c r="U2" t="s">
        <v>696</v>
      </c>
    </row>
    <row r="3" spans="2:22" s="100" customFormat="1" ht="94.5" customHeight="1" x14ac:dyDescent="0.15">
      <c r="B3" s="101"/>
      <c r="C3" s="61" t="s">
        <v>697</v>
      </c>
      <c r="D3" s="61" t="s">
        <v>702</v>
      </c>
      <c r="E3" s="61" t="s">
        <v>703</v>
      </c>
      <c r="F3" s="61" t="s">
        <v>757</v>
      </c>
      <c r="G3" s="61" t="s">
        <v>753</v>
      </c>
      <c r="H3" s="61" t="s">
        <v>755</v>
      </c>
      <c r="I3" s="61" t="s">
        <v>754</v>
      </c>
      <c r="L3" s="101"/>
      <c r="M3" s="61" t="s">
        <v>749</v>
      </c>
      <c r="N3" s="61" t="s">
        <v>702</v>
      </c>
      <c r="O3" s="61" t="s">
        <v>703</v>
      </c>
      <c r="P3" s="61" t="s">
        <v>698</v>
      </c>
      <c r="V3"/>
    </row>
    <row r="4" spans="2:22" ht="14.25" x14ac:dyDescent="0.15">
      <c r="B4" s="91" t="s">
        <v>683</v>
      </c>
      <c r="C4" s="42">
        <v>40000</v>
      </c>
      <c r="D4" s="42">
        <v>40000</v>
      </c>
      <c r="E4" s="42">
        <v>40000</v>
      </c>
      <c r="F4" s="42" t="s">
        <v>748</v>
      </c>
      <c r="G4" s="42" t="s">
        <v>748</v>
      </c>
      <c r="H4" s="42" t="s">
        <v>748</v>
      </c>
      <c r="I4" s="42" t="s">
        <v>748</v>
      </c>
      <c r="L4" s="91" t="s">
        <v>683</v>
      </c>
      <c r="M4" s="342" t="s">
        <v>697</v>
      </c>
      <c r="N4" s="342" t="s">
        <v>702</v>
      </c>
      <c r="O4" s="342" t="s">
        <v>703</v>
      </c>
      <c r="P4" s="342" t="s">
        <v>752</v>
      </c>
      <c r="T4" t="s">
        <v>1123</v>
      </c>
      <c r="U4" s="302">
        <v>20000</v>
      </c>
    </row>
    <row r="5" spans="2:22" ht="14.25" x14ac:dyDescent="0.15">
      <c r="B5" s="91" t="s">
        <v>687</v>
      </c>
      <c r="C5" s="42">
        <v>20000</v>
      </c>
      <c r="D5" s="42">
        <v>20000</v>
      </c>
      <c r="E5" s="42">
        <v>20000</v>
      </c>
      <c r="F5" s="42" t="s">
        <v>748</v>
      </c>
      <c r="G5" s="42" t="s">
        <v>748</v>
      </c>
      <c r="H5" s="42" t="s">
        <v>748</v>
      </c>
      <c r="I5" s="42" t="s">
        <v>748</v>
      </c>
      <c r="L5" s="91" t="s">
        <v>687</v>
      </c>
      <c r="M5" s="342" t="s">
        <v>697</v>
      </c>
      <c r="N5" s="342" t="s">
        <v>702</v>
      </c>
      <c r="O5" s="342" t="s">
        <v>703</v>
      </c>
      <c r="P5" s="342" t="s">
        <v>752</v>
      </c>
      <c r="T5" t="s">
        <v>1124</v>
      </c>
      <c r="U5" s="302">
        <v>30000</v>
      </c>
    </row>
    <row r="6" spans="2:22" ht="14.25" x14ac:dyDescent="0.15">
      <c r="B6" s="91" t="s">
        <v>688</v>
      </c>
      <c r="C6" s="42" t="s">
        <v>748</v>
      </c>
      <c r="D6" s="42">
        <v>5000</v>
      </c>
      <c r="E6" s="42">
        <v>5000</v>
      </c>
      <c r="F6" s="42" t="s">
        <v>748</v>
      </c>
      <c r="G6" s="42" t="s">
        <v>748</v>
      </c>
      <c r="H6" s="42" t="s">
        <v>748</v>
      </c>
      <c r="I6" s="42" t="s">
        <v>748</v>
      </c>
      <c r="L6" s="91" t="s">
        <v>688</v>
      </c>
      <c r="M6" s="342" t="s">
        <v>750</v>
      </c>
      <c r="N6" s="342" t="s">
        <v>702</v>
      </c>
      <c r="O6" s="342" t="s">
        <v>703</v>
      </c>
      <c r="P6" s="342" t="s">
        <v>752</v>
      </c>
      <c r="T6" t="s">
        <v>1125</v>
      </c>
      <c r="U6" s="302">
        <v>40000</v>
      </c>
    </row>
    <row r="7" spans="2:22" ht="14.25" x14ac:dyDescent="0.15">
      <c r="B7" s="91" t="s">
        <v>689</v>
      </c>
      <c r="C7" s="42">
        <v>50000</v>
      </c>
      <c r="D7" s="42">
        <v>40000</v>
      </c>
      <c r="E7" s="42">
        <v>40000</v>
      </c>
      <c r="F7" s="42" t="s">
        <v>748</v>
      </c>
      <c r="G7" s="42" t="s">
        <v>748</v>
      </c>
      <c r="H7" s="42" t="s">
        <v>748</v>
      </c>
      <c r="I7" s="42" t="s">
        <v>748</v>
      </c>
      <c r="L7" s="91" t="s">
        <v>689</v>
      </c>
      <c r="M7" s="342" t="s">
        <v>697</v>
      </c>
      <c r="N7" s="342" t="s">
        <v>702</v>
      </c>
      <c r="O7" s="342" t="s">
        <v>703</v>
      </c>
      <c r="P7" s="342" t="s">
        <v>752</v>
      </c>
      <c r="T7" t="s">
        <v>1126</v>
      </c>
      <c r="U7" s="302">
        <v>12000</v>
      </c>
    </row>
    <row r="8" spans="2:22" ht="14.25" x14ac:dyDescent="0.15">
      <c r="B8" s="91" t="s">
        <v>690</v>
      </c>
      <c r="C8" s="42">
        <v>25000</v>
      </c>
      <c r="D8" s="42">
        <v>20000</v>
      </c>
      <c r="E8" s="42">
        <v>20000</v>
      </c>
      <c r="F8" s="42" t="s">
        <v>748</v>
      </c>
      <c r="G8" s="42" t="s">
        <v>748</v>
      </c>
      <c r="H8" s="42" t="s">
        <v>748</v>
      </c>
      <c r="I8" s="42" t="s">
        <v>748</v>
      </c>
      <c r="L8" s="91" t="s">
        <v>690</v>
      </c>
      <c r="M8" s="342" t="s">
        <v>697</v>
      </c>
      <c r="N8" s="342" t="s">
        <v>702</v>
      </c>
      <c r="O8" s="342" t="s">
        <v>703</v>
      </c>
      <c r="P8" s="342" t="s">
        <v>752</v>
      </c>
      <c r="T8" t="s">
        <v>1106</v>
      </c>
      <c r="U8" s="302" t="s">
        <v>740</v>
      </c>
    </row>
    <row r="9" spans="2:22" ht="14.25" x14ac:dyDescent="0.15">
      <c r="B9" s="91" t="s">
        <v>691</v>
      </c>
      <c r="C9" s="42" t="s">
        <v>748</v>
      </c>
      <c r="D9" s="42">
        <v>8000</v>
      </c>
      <c r="E9" s="42">
        <v>8000</v>
      </c>
      <c r="F9" s="42" t="s">
        <v>748</v>
      </c>
      <c r="G9" s="42" t="s">
        <v>748</v>
      </c>
      <c r="H9" s="42" t="s">
        <v>748</v>
      </c>
      <c r="I9" s="42" t="s">
        <v>748</v>
      </c>
      <c r="L9" s="91" t="s">
        <v>691</v>
      </c>
      <c r="M9" s="342" t="s">
        <v>750</v>
      </c>
      <c r="N9" s="342" t="s">
        <v>702</v>
      </c>
      <c r="O9" s="342" t="s">
        <v>703</v>
      </c>
      <c r="P9" s="342" t="s">
        <v>752</v>
      </c>
    </row>
    <row r="10" spans="2:22" ht="14.25" x14ac:dyDescent="0.15">
      <c r="B10" s="105" t="s">
        <v>692</v>
      </c>
      <c r="C10" s="42">
        <v>70000</v>
      </c>
      <c r="D10" s="42" t="s">
        <v>748</v>
      </c>
      <c r="E10" s="42">
        <v>70000</v>
      </c>
      <c r="F10" s="42" t="s">
        <v>748</v>
      </c>
      <c r="G10" s="42" t="s">
        <v>748</v>
      </c>
      <c r="H10" s="42" t="s">
        <v>748</v>
      </c>
      <c r="I10" s="42" t="s">
        <v>748</v>
      </c>
      <c r="L10" s="105" t="s">
        <v>692</v>
      </c>
      <c r="M10" s="342" t="s">
        <v>697</v>
      </c>
      <c r="N10" s="342" t="s">
        <v>751</v>
      </c>
      <c r="O10" s="342" t="s">
        <v>703</v>
      </c>
      <c r="P10" s="342" t="s">
        <v>752</v>
      </c>
      <c r="T10" t="s">
        <v>685</v>
      </c>
      <c r="U10" s="302">
        <v>5000</v>
      </c>
    </row>
    <row r="11" spans="2:22" ht="14.25" x14ac:dyDescent="0.15">
      <c r="B11" s="105" t="s">
        <v>693</v>
      </c>
      <c r="C11" s="42">
        <v>35000</v>
      </c>
      <c r="D11" s="42" t="s">
        <v>748</v>
      </c>
      <c r="E11" s="42">
        <v>35000</v>
      </c>
      <c r="F11" s="42" t="s">
        <v>748</v>
      </c>
      <c r="G11" s="42" t="s">
        <v>748</v>
      </c>
      <c r="H11" s="42" t="s">
        <v>748</v>
      </c>
      <c r="I11" s="42" t="s">
        <v>748</v>
      </c>
      <c r="L11" s="105" t="s">
        <v>693</v>
      </c>
      <c r="M11" s="342" t="s">
        <v>697</v>
      </c>
      <c r="N11" s="342" t="s">
        <v>751</v>
      </c>
      <c r="O11" s="342" t="s">
        <v>703</v>
      </c>
      <c r="P11" s="342" t="s">
        <v>752</v>
      </c>
      <c r="T11" t="s">
        <v>1127</v>
      </c>
      <c r="U11" t="s">
        <v>740</v>
      </c>
    </row>
    <row r="12" spans="2:22" ht="14.25" x14ac:dyDescent="0.15">
      <c r="B12" s="105" t="s">
        <v>694</v>
      </c>
      <c r="C12" s="42">
        <v>70000</v>
      </c>
      <c r="D12" s="42" t="s">
        <v>748</v>
      </c>
      <c r="E12" s="42">
        <v>70000</v>
      </c>
      <c r="F12" s="42" t="s">
        <v>748</v>
      </c>
      <c r="G12" s="42" t="s">
        <v>748</v>
      </c>
      <c r="H12" s="42" t="s">
        <v>748</v>
      </c>
      <c r="I12" s="42" t="s">
        <v>748</v>
      </c>
      <c r="L12" s="105" t="s">
        <v>694</v>
      </c>
      <c r="M12" s="342" t="s">
        <v>697</v>
      </c>
      <c r="N12" s="342" t="s">
        <v>751</v>
      </c>
      <c r="O12" s="342" t="s">
        <v>703</v>
      </c>
      <c r="P12" s="342" t="s">
        <v>752</v>
      </c>
    </row>
    <row r="13" spans="2:22" ht="14.25" x14ac:dyDescent="0.15">
      <c r="B13" s="105" t="s">
        <v>695</v>
      </c>
      <c r="C13" s="42">
        <v>35000</v>
      </c>
      <c r="D13" s="42" t="s">
        <v>748</v>
      </c>
      <c r="E13" s="42">
        <v>35000</v>
      </c>
      <c r="F13" s="42" t="s">
        <v>748</v>
      </c>
      <c r="G13" s="42" t="s">
        <v>748</v>
      </c>
      <c r="H13" s="42" t="s">
        <v>748</v>
      </c>
      <c r="I13" s="42" t="s">
        <v>748</v>
      </c>
      <c r="L13" s="105" t="s">
        <v>695</v>
      </c>
      <c r="M13" s="342" t="s">
        <v>697</v>
      </c>
      <c r="N13" s="342" t="s">
        <v>751</v>
      </c>
      <c r="O13" s="342" t="s">
        <v>703</v>
      </c>
      <c r="P13" s="342" t="s">
        <v>752</v>
      </c>
      <c r="T13" s="100"/>
    </row>
    <row r="14" spans="2:22" ht="14.25" x14ac:dyDescent="0.15">
      <c r="B14" s="105"/>
      <c r="C14" s="42"/>
      <c r="D14" s="42"/>
      <c r="E14" s="42"/>
      <c r="F14" s="42"/>
      <c r="G14" s="42"/>
      <c r="H14" s="42"/>
      <c r="I14" s="42"/>
      <c r="L14" s="105" t="s">
        <v>704</v>
      </c>
      <c r="M14" s="342" t="s">
        <v>757</v>
      </c>
      <c r="N14" s="342" t="s">
        <v>755</v>
      </c>
      <c r="O14" s="342" t="s">
        <v>753</v>
      </c>
      <c r="P14" s="342" t="s">
        <v>754</v>
      </c>
    </row>
    <row r="15" spans="2:22" ht="14.25" x14ac:dyDescent="0.15">
      <c r="B15" s="105" t="s">
        <v>704</v>
      </c>
      <c r="C15" s="42" t="s">
        <v>748</v>
      </c>
      <c r="D15" s="42" t="s">
        <v>748</v>
      </c>
      <c r="E15" s="42" t="s">
        <v>748</v>
      </c>
      <c r="F15" s="42">
        <v>60000</v>
      </c>
      <c r="G15" s="42">
        <v>60000</v>
      </c>
      <c r="H15" s="42">
        <v>10000</v>
      </c>
      <c r="I15" s="42">
        <v>10000</v>
      </c>
      <c r="L15" s="105" t="s">
        <v>705</v>
      </c>
      <c r="M15" s="342" t="s">
        <v>757</v>
      </c>
      <c r="N15" s="342" t="s">
        <v>755</v>
      </c>
      <c r="O15" s="342" t="s">
        <v>753</v>
      </c>
      <c r="P15" s="342" t="s">
        <v>754</v>
      </c>
    </row>
    <row r="16" spans="2:22" ht="14.25" x14ac:dyDescent="0.15">
      <c r="B16" s="105" t="s">
        <v>705</v>
      </c>
      <c r="C16" s="42" t="s">
        <v>748</v>
      </c>
      <c r="D16" s="42" t="s">
        <v>748</v>
      </c>
      <c r="E16" s="42" t="s">
        <v>748</v>
      </c>
      <c r="F16" s="42">
        <v>30000</v>
      </c>
      <c r="G16" s="42">
        <v>30000</v>
      </c>
      <c r="H16" s="42">
        <v>5000</v>
      </c>
      <c r="I16" s="42">
        <v>5000</v>
      </c>
      <c r="L16" s="105" t="s">
        <v>744</v>
      </c>
      <c r="M16" s="342" t="s">
        <v>758</v>
      </c>
      <c r="N16" s="342" t="s">
        <v>756</v>
      </c>
      <c r="O16" s="342" t="s">
        <v>753</v>
      </c>
      <c r="P16" s="342" t="s">
        <v>754</v>
      </c>
    </row>
    <row r="17" spans="2:16" ht="14.25" x14ac:dyDescent="0.15">
      <c r="B17" s="105" t="s">
        <v>744</v>
      </c>
      <c r="C17" s="42" t="s">
        <v>748</v>
      </c>
      <c r="D17" s="42" t="s">
        <v>748</v>
      </c>
      <c r="E17" s="42" t="s">
        <v>748</v>
      </c>
      <c r="F17" s="42" t="s">
        <v>748</v>
      </c>
      <c r="G17" s="42">
        <v>10000</v>
      </c>
      <c r="H17" s="42" t="s">
        <v>748</v>
      </c>
      <c r="I17" s="42">
        <v>3000</v>
      </c>
      <c r="L17" s="105" t="s">
        <v>706</v>
      </c>
      <c r="M17" s="342" t="s">
        <v>757</v>
      </c>
      <c r="N17" s="342" t="s">
        <v>755</v>
      </c>
      <c r="O17" s="342" t="s">
        <v>753</v>
      </c>
      <c r="P17" s="342" t="s">
        <v>754</v>
      </c>
    </row>
    <row r="18" spans="2:16" ht="14.25" x14ac:dyDescent="0.15">
      <c r="B18" s="105" t="s">
        <v>706</v>
      </c>
      <c r="C18" s="42" t="s">
        <v>748</v>
      </c>
      <c r="D18" s="42" t="s">
        <v>748</v>
      </c>
      <c r="E18" s="42" t="s">
        <v>748</v>
      </c>
      <c r="F18" s="42">
        <v>160000</v>
      </c>
      <c r="G18" s="42">
        <v>160000</v>
      </c>
      <c r="H18" s="42">
        <v>10000</v>
      </c>
      <c r="I18" s="42">
        <v>10000</v>
      </c>
      <c r="L18" s="105" t="s">
        <v>707</v>
      </c>
      <c r="M18" s="342" t="s">
        <v>757</v>
      </c>
      <c r="N18" s="342" t="s">
        <v>755</v>
      </c>
      <c r="O18" s="342" t="s">
        <v>753</v>
      </c>
      <c r="P18" s="342" t="s">
        <v>754</v>
      </c>
    </row>
    <row r="19" spans="2:16" ht="14.25" x14ac:dyDescent="0.15">
      <c r="B19" s="105" t="s">
        <v>707</v>
      </c>
      <c r="C19" s="42" t="s">
        <v>748</v>
      </c>
      <c r="D19" s="42" t="s">
        <v>748</v>
      </c>
      <c r="E19" s="42" t="s">
        <v>748</v>
      </c>
      <c r="F19" s="42">
        <v>80000</v>
      </c>
      <c r="G19" s="42">
        <v>80000</v>
      </c>
      <c r="H19" s="42">
        <v>5000</v>
      </c>
      <c r="I19" s="42">
        <v>5000</v>
      </c>
      <c r="L19" s="105" t="s">
        <v>745</v>
      </c>
      <c r="M19" s="342" t="s">
        <v>758</v>
      </c>
      <c r="N19" s="342" t="s">
        <v>756</v>
      </c>
      <c r="O19" s="342" t="s">
        <v>753</v>
      </c>
      <c r="P19" s="342" t="s">
        <v>754</v>
      </c>
    </row>
    <row r="20" spans="2:16" ht="14.25" x14ac:dyDescent="0.15">
      <c r="B20" s="105" t="s">
        <v>745</v>
      </c>
      <c r="C20" s="42" t="s">
        <v>748</v>
      </c>
      <c r="D20" s="42" t="s">
        <v>748</v>
      </c>
      <c r="E20" s="42" t="s">
        <v>748</v>
      </c>
      <c r="F20" s="42" t="s">
        <v>748</v>
      </c>
      <c r="G20" s="42">
        <v>10000</v>
      </c>
      <c r="H20" s="42" t="s">
        <v>748</v>
      </c>
      <c r="I20" s="42">
        <v>3000</v>
      </c>
      <c r="L20" s="105" t="s">
        <v>708</v>
      </c>
      <c r="M20" s="342" t="s">
        <v>757</v>
      </c>
      <c r="N20" s="342" t="s">
        <v>755</v>
      </c>
      <c r="O20" s="342" t="s">
        <v>753</v>
      </c>
      <c r="P20" s="342" t="s">
        <v>754</v>
      </c>
    </row>
    <row r="21" spans="2:16" ht="14.25" x14ac:dyDescent="0.15">
      <c r="B21" s="105" t="s">
        <v>708</v>
      </c>
      <c r="C21" s="42" t="s">
        <v>748</v>
      </c>
      <c r="D21" s="42" t="s">
        <v>748</v>
      </c>
      <c r="E21" s="42" t="s">
        <v>748</v>
      </c>
      <c r="F21" s="42">
        <v>100000</v>
      </c>
      <c r="G21" s="42">
        <v>100000</v>
      </c>
      <c r="H21" s="42">
        <v>6000</v>
      </c>
      <c r="I21" s="42">
        <v>6000</v>
      </c>
      <c r="L21" s="105" t="s">
        <v>709</v>
      </c>
      <c r="M21" s="342" t="s">
        <v>757</v>
      </c>
      <c r="N21" s="342" t="s">
        <v>755</v>
      </c>
      <c r="O21" s="342" t="s">
        <v>753</v>
      </c>
      <c r="P21" s="342" t="s">
        <v>754</v>
      </c>
    </row>
    <row r="22" spans="2:16" ht="14.25" x14ac:dyDescent="0.15">
      <c r="B22" s="105" t="s">
        <v>709</v>
      </c>
      <c r="C22" s="42" t="s">
        <v>748</v>
      </c>
      <c r="D22" s="42" t="s">
        <v>748</v>
      </c>
      <c r="E22" s="42" t="s">
        <v>748</v>
      </c>
      <c r="F22" s="42">
        <v>50000</v>
      </c>
      <c r="G22" s="42">
        <v>50000</v>
      </c>
      <c r="H22" s="42">
        <v>3000</v>
      </c>
      <c r="I22" s="42">
        <v>3000</v>
      </c>
      <c r="L22" s="105" t="s">
        <v>746</v>
      </c>
      <c r="M22" s="342" t="s">
        <v>758</v>
      </c>
      <c r="N22" s="342" t="s">
        <v>756</v>
      </c>
      <c r="O22" s="342" t="s">
        <v>753</v>
      </c>
      <c r="P22" s="342" t="s">
        <v>754</v>
      </c>
    </row>
    <row r="23" spans="2:16" ht="14.25" x14ac:dyDescent="0.15">
      <c r="B23" s="105" t="s">
        <v>746</v>
      </c>
      <c r="C23" s="42" t="s">
        <v>748</v>
      </c>
      <c r="D23" s="42" t="s">
        <v>748</v>
      </c>
      <c r="E23" s="42" t="s">
        <v>748</v>
      </c>
      <c r="F23" s="42" t="s">
        <v>748</v>
      </c>
      <c r="G23" s="42">
        <v>6000</v>
      </c>
      <c r="H23" s="42" t="s">
        <v>748</v>
      </c>
      <c r="I23" s="42">
        <v>2000</v>
      </c>
      <c r="L23" s="105" t="s">
        <v>710</v>
      </c>
      <c r="M23" s="342" t="s">
        <v>757</v>
      </c>
      <c r="N23" s="342" t="s">
        <v>755</v>
      </c>
      <c r="O23" s="342" t="s">
        <v>753</v>
      </c>
      <c r="P23" s="342" t="s">
        <v>754</v>
      </c>
    </row>
    <row r="24" spans="2:16" ht="14.25" x14ac:dyDescent="0.15">
      <c r="B24" s="105" t="s">
        <v>710</v>
      </c>
      <c r="C24" s="42" t="s">
        <v>748</v>
      </c>
      <c r="D24" s="42" t="s">
        <v>748</v>
      </c>
      <c r="E24" s="42" t="s">
        <v>748</v>
      </c>
      <c r="F24" s="42">
        <v>100000</v>
      </c>
      <c r="G24" s="42">
        <v>100000</v>
      </c>
      <c r="H24" s="42">
        <v>12000</v>
      </c>
      <c r="I24" s="42">
        <v>12000</v>
      </c>
      <c r="L24" s="105" t="s">
        <v>711</v>
      </c>
      <c r="M24" s="342" t="s">
        <v>757</v>
      </c>
      <c r="N24" s="342" t="s">
        <v>755</v>
      </c>
      <c r="O24" s="342" t="s">
        <v>753</v>
      </c>
      <c r="P24" s="342" t="s">
        <v>754</v>
      </c>
    </row>
    <row r="25" spans="2:16" ht="14.25" x14ac:dyDescent="0.15">
      <c r="B25" s="105" t="s">
        <v>711</v>
      </c>
      <c r="C25" s="42" t="s">
        <v>748</v>
      </c>
      <c r="D25" s="42" t="s">
        <v>748</v>
      </c>
      <c r="E25" s="42" t="s">
        <v>748</v>
      </c>
      <c r="F25" s="42">
        <v>50000</v>
      </c>
      <c r="G25" s="42">
        <v>50000</v>
      </c>
      <c r="H25" s="42">
        <v>6000</v>
      </c>
      <c r="I25" s="42">
        <v>6000</v>
      </c>
      <c r="L25" s="105" t="s">
        <v>747</v>
      </c>
      <c r="M25" s="342" t="s">
        <v>758</v>
      </c>
      <c r="N25" s="342" t="s">
        <v>756</v>
      </c>
      <c r="O25" s="342" t="s">
        <v>753</v>
      </c>
      <c r="P25" s="342" t="s">
        <v>754</v>
      </c>
    </row>
    <row r="26" spans="2:16" ht="14.25" x14ac:dyDescent="0.15">
      <c r="B26" s="105" t="s">
        <v>747</v>
      </c>
      <c r="C26" s="42" t="s">
        <v>748</v>
      </c>
      <c r="D26" s="42" t="s">
        <v>748</v>
      </c>
      <c r="E26" s="42" t="s">
        <v>748</v>
      </c>
      <c r="F26" s="42" t="s">
        <v>748</v>
      </c>
      <c r="G26" s="42">
        <v>6000</v>
      </c>
      <c r="H26" s="42" t="s">
        <v>748</v>
      </c>
      <c r="I26" s="42">
        <v>2000</v>
      </c>
      <c r="L26" s="105" t="s">
        <v>712</v>
      </c>
      <c r="M26" s="342" t="s">
        <v>757</v>
      </c>
      <c r="N26" s="342" t="s">
        <v>755</v>
      </c>
      <c r="O26" s="342" t="s">
        <v>753</v>
      </c>
      <c r="P26" s="342" t="s">
        <v>754</v>
      </c>
    </row>
    <row r="27" spans="2:16" ht="14.25" x14ac:dyDescent="0.15">
      <c r="B27" s="105" t="s">
        <v>712</v>
      </c>
      <c r="C27" s="42" t="s">
        <v>748</v>
      </c>
      <c r="D27" s="42" t="s">
        <v>748</v>
      </c>
      <c r="E27" s="42" t="s">
        <v>748</v>
      </c>
      <c r="F27" s="42">
        <v>40000</v>
      </c>
      <c r="G27" s="42">
        <v>40000</v>
      </c>
      <c r="H27" s="42">
        <v>1600</v>
      </c>
      <c r="I27" s="42">
        <v>1600</v>
      </c>
      <c r="L27" s="105" t="s">
        <v>713</v>
      </c>
      <c r="M27" s="342" t="s">
        <v>757</v>
      </c>
      <c r="N27" s="342" t="s">
        <v>755</v>
      </c>
      <c r="O27" s="342" t="s">
        <v>753</v>
      </c>
      <c r="P27" s="342" t="s">
        <v>754</v>
      </c>
    </row>
    <row r="28" spans="2:16" ht="14.25" x14ac:dyDescent="0.15">
      <c r="B28" s="105" t="s">
        <v>713</v>
      </c>
      <c r="C28" s="42" t="s">
        <v>748</v>
      </c>
      <c r="D28" s="42" t="s">
        <v>748</v>
      </c>
      <c r="E28" s="42" t="s">
        <v>748</v>
      </c>
      <c r="F28" s="42">
        <v>40000</v>
      </c>
      <c r="G28" s="42">
        <v>40000</v>
      </c>
      <c r="H28" s="42">
        <v>2400</v>
      </c>
      <c r="I28" s="42">
        <v>2400</v>
      </c>
      <c r="L28" s="48"/>
      <c r="M28" s="61" t="s">
        <v>698</v>
      </c>
      <c r="N28" s="61" t="s">
        <v>700</v>
      </c>
      <c r="O28" s="61" t="s">
        <v>699</v>
      </c>
      <c r="P28" s="61" t="s">
        <v>701</v>
      </c>
    </row>
    <row r="29" spans="2:16" ht="14.25" x14ac:dyDescent="0.15">
      <c r="B29" s="48"/>
      <c r="C29" s="49"/>
      <c r="D29" s="49"/>
      <c r="E29" s="49"/>
      <c r="F29" s="49"/>
      <c r="G29" s="49"/>
      <c r="H29" s="49"/>
      <c r="I29" s="49"/>
      <c r="L29" s="37"/>
      <c r="N29" s="40"/>
      <c r="O29" s="40"/>
      <c r="P29" s="40"/>
    </row>
    <row r="30" spans="2:16" ht="14.25" x14ac:dyDescent="0.15">
      <c r="B30" s="37"/>
      <c r="C30" s="40"/>
      <c r="D30" s="40"/>
      <c r="E30" s="40"/>
      <c r="F30" s="40"/>
      <c r="G30" s="40"/>
      <c r="H30" s="40"/>
      <c r="I30" s="40"/>
      <c r="L30" s="37"/>
      <c r="N30" s="40"/>
      <c r="O30" s="40"/>
      <c r="P30" s="40"/>
    </row>
    <row r="31" spans="2:16" ht="14.25" x14ac:dyDescent="0.15">
      <c r="B31" s="37"/>
      <c r="C31" s="40"/>
      <c r="D31" s="40"/>
      <c r="E31" s="40"/>
      <c r="F31" s="40"/>
      <c r="G31" s="40"/>
      <c r="H31" s="40"/>
      <c r="I31" s="40"/>
      <c r="L31" s="68"/>
      <c r="N31" s="68"/>
      <c r="O31" s="68"/>
      <c r="P31" s="68"/>
    </row>
    <row r="32" spans="2:16" ht="14.25" x14ac:dyDescent="0.15">
      <c r="B32" s="68"/>
      <c r="C32" s="68"/>
      <c r="D32" s="68"/>
      <c r="E32" s="68"/>
      <c r="F32" s="68"/>
      <c r="G32" s="68"/>
      <c r="H32" s="68"/>
      <c r="I32" s="68"/>
      <c r="L32" s="68"/>
      <c r="N32" s="68"/>
      <c r="O32" s="68"/>
      <c r="P32" s="68"/>
    </row>
    <row r="33" spans="2:16" ht="15.75" x14ac:dyDescent="0.15">
      <c r="B33" s="68"/>
      <c r="C33" s="68"/>
      <c r="D33" s="68"/>
      <c r="E33" s="68"/>
      <c r="F33" s="68"/>
      <c r="G33" s="68"/>
      <c r="H33" s="68"/>
      <c r="I33" s="68"/>
      <c r="L33" s="97"/>
      <c r="N33" s="97"/>
      <c r="O33" s="97"/>
      <c r="P33" s="97"/>
    </row>
    <row r="34" spans="2:16" ht="15.75" x14ac:dyDescent="0.15">
      <c r="B34" s="97"/>
      <c r="C34" s="97"/>
      <c r="D34" s="97"/>
      <c r="E34" s="97"/>
      <c r="F34" s="97"/>
      <c r="G34" s="97"/>
      <c r="H34" s="97"/>
      <c r="I34" s="97"/>
      <c r="L34" s="97"/>
      <c r="N34" s="97"/>
      <c r="O34" s="97"/>
      <c r="P34" s="97"/>
    </row>
    <row r="35" spans="2:16" ht="15.75" x14ac:dyDescent="0.15">
      <c r="B35" s="97"/>
      <c r="C35" s="97"/>
      <c r="D35" s="97"/>
      <c r="E35" s="97"/>
      <c r="F35" s="97"/>
      <c r="G35" s="97"/>
      <c r="H35" s="97"/>
      <c r="I35" s="97"/>
      <c r="L35" s="97"/>
      <c r="N35" s="97"/>
      <c r="O35" s="97"/>
      <c r="P35" s="97"/>
    </row>
    <row r="36" spans="2:16" ht="15.75" x14ac:dyDescent="0.15">
      <c r="B36" s="97"/>
      <c r="C36" s="97"/>
      <c r="D36" s="97"/>
      <c r="E36" s="97"/>
      <c r="F36" s="97"/>
      <c r="G36" s="97"/>
      <c r="H36" s="97"/>
      <c r="I36" s="97"/>
      <c r="L36" s="97"/>
      <c r="N36" s="97"/>
      <c r="O36" s="97"/>
      <c r="P36" s="97"/>
    </row>
    <row r="37" spans="2:16" ht="15.75" x14ac:dyDescent="0.15">
      <c r="B37" s="97"/>
      <c r="C37" s="97"/>
      <c r="D37" s="97"/>
      <c r="E37" s="97"/>
      <c r="F37" s="97"/>
      <c r="G37" s="97"/>
      <c r="H37" s="97"/>
      <c r="I37" s="97"/>
      <c r="L37" s="97"/>
      <c r="N37" s="97"/>
      <c r="O37" s="97"/>
      <c r="P37" s="97"/>
    </row>
    <row r="38" spans="2:16" ht="15.75" x14ac:dyDescent="0.15">
      <c r="B38" s="97"/>
      <c r="C38" s="97"/>
      <c r="D38" s="97"/>
      <c r="E38" s="97"/>
      <c r="F38" s="97"/>
      <c r="G38" s="97"/>
      <c r="H38" s="97"/>
      <c r="I38" s="97"/>
      <c r="L38" s="97"/>
      <c r="N38" s="97"/>
      <c r="O38" s="97"/>
      <c r="P38" s="97"/>
    </row>
    <row r="39" spans="2:16" ht="15.75" x14ac:dyDescent="0.15">
      <c r="B39" s="97"/>
      <c r="C39" s="97"/>
      <c r="D39" s="97"/>
      <c r="E39" s="97"/>
      <c r="F39" s="97"/>
      <c r="G39" s="97"/>
      <c r="H39" s="97"/>
      <c r="I39" s="97"/>
      <c r="L39" s="97"/>
      <c r="N39" s="97"/>
      <c r="O39" s="97"/>
      <c r="P39" s="97"/>
    </row>
    <row r="40" spans="2:16" ht="15.75" x14ac:dyDescent="0.15">
      <c r="B40" s="97"/>
      <c r="C40" s="97"/>
      <c r="D40" s="97"/>
      <c r="E40" s="97"/>
      <c r="F40" s="97"/>
      <c r="G40" s="97"/>
      <c r="H40" s="97"/>
      <c r="I40" s="97"/>
      <c r="L40" s="97"/>
      <c r="N40" s="97"/>
      <c r="O40" s="97"/>
      <c r="P40" s="97"/>
    </row>
    <row r="41" spans="2:16" ht="15.75" x14ac:dyDescent="0.15">
      <c r="B41" s="97"/>
      <c r="C41" s="97"/>
      <c r="D41" s="97"/>
      <c r="E41" s="97"/>
      <c r="F41" s="97"/>
      <c r="G41" s="97"/>
      <c r="H41" s="97"/>
      <c r="I41" s="97"/>
      <c r="L41" s="97"/>
      <c r="N41" s="97"/>
      <c r="O41" s="97"/>
      <c r="P41" s="97"/>
    </row>
    <row r="42" spans="2:16" ht="15.75" x14ac:dyDescent="0.15">
      <c r="B42" s="97"/>
      <c r="C42" s="97"/>
      <c r="D42" s="97"/>
      <c r="E42" s="97"/>
      <c r="F42" s="97"/>
      <c r="G42" s="97"/>
      <c r="H42" s="97"/>
      <c r="I42" s="97"/>
      <c r="L42" s="97"/>
      <c r="N42" s="97"/>
      <c r="O42" s="97"/>
      <c r="P42" s="97"/>
    </row>
    <row r="43" spans="2:16" ht="15.75" x14ac:dyDescent="0.15">
      <c r="B43" s="97"/>
      <c r="C43" s="97"/>
      <c r="D43" s="97"/>
      <c r="E43" s="97"/>
      <c r="F43" s="97"/>
      <c r="G43" s="97"/>
      <c r="H43" s="97"/>
      <c r="I43" s="97"/>
      <c r="L43" s="97"/>
      <c r="M43" s="97"/>
      <c r="N43" s="97"/>
      <c r="O43" s="97"/>
      <c r="P43" s="97"/>
    </row>
    <row r="44" spans="2:16" ht="15.75" x14ac:dyDescent="0.15">
      <c r="B44" s="97"/>
      <c r="C44" s="97"/>
      <c r="D44" s="97"/>
      <c r="E44" s="97"/>
      <c r="F44" s="97"/>
      <c r="G44" s="97"/>
      <c r="H44" s="97"/>
      <c r="I44" s="97"/>
      <c r="L44" s="97"/>
      <c r="M44" s="97"/>
      <c r="N44" s="97"/>
      <c r="O44" s="97"/>
      <c r="P44" s="97"/>
    </row>
    <row r="45" spans="2:16" ht="15.75" x14ac:dyDescent="0.15">
      <c r="B45" s="97"/>
      <c r="C45" s="97"/>
      <c r="D45" s="97"/>
      <c r="E45" s="97"/>
      <c r="F45" s="97"/>
      <c r="G45" s="97"/>
      <c r="H45" s="97"/>
      <c r="I45" s="97"/>
      <c r="L45" s="97"/>
      <c r="M45" s="97"/>
      <c r="N45" s="97"/>
      <c r="O45" s="97"/>
      <c r="P45" s="97"/>
    </row>
    <row r="46" spans="2:16" ht="15.75" x14ac:dyDescent="0.15">
      <c r="B46" s="97"/>
      <c r="C46" s="97"/>
      <c r="D46" s="97"/>
      <c r="E46" s="97"/>
      <c r="F46" s="97"/>
      <c r="G46" s="97"/>
      <c r="H46" s="97"/>
      <c r="I46" s="97"/>
      <c r="L46" s="97"/>
      <c r="M46" s="97"/>
      <c r="N46" s="97"/>
      <c r="O46" s="97"/>
      <c r="P46" s="97"/>
    </row>
    <row r="47" spans="2:16" ht="15.75" x14ac:dyDescent="0.15">
      <c r="B47" s="97"/>
      <c r="C47" s="97"/>
      <c r="D47" s="97"/>
      <c r="E47" s="97"/>
      <c r="F47" s="97"/>
      <c r="G47" s="97"/>
      <c r="H47" s="97"/>
      <c r="I47" s="97"/>
      <c r="L47" s="97"/>
      <c r="M47" s="97"/>
      <c r="N47" s="97"/>
      <c r="O47" s="97"/>
      <c r="P47" s="97"/>
    </row>
    <row r="48" spans="2:16" ht="15.75" x14ac:dyDescent="0.15">
      <c r="B48" s="97"/>
      <c r="C48" s="97"/>
      <c r="D48" s="97"/>
      <c r="E48" s="97"/>
      <c r="F48" s="97"/>
      <c r="G48" s="97"/>
      <c r="H48" s="97"/>
      <c r="I48" s="97"/>
      <c r="L48" s="97"/>
      <c r="M48" s="97"/>
      <c r="N48" s="97"/>
      <c r="O48" s="97"/>
      <c r="P48" s="97"/>
    </row>
    <row r="49" spans="2:16" ht="15.75" x14ac:dyDescent="0.15">
      <c r="B49" s="97"/>
      <c r="C49" s="97"/>
      <c r="D49" s="97"/>
      <c r="E49" s="97"/>
      <c r="F49" s="97"/>
      <c r="G49" s="97"/>
      <c r="H49" s="97"/>
      <c r="I49" s="97"/>
      <c r="L49" s="97"/>
      <c r="M49" s="97"/>
      <c r="N49" s="97"/>
      <c r="O49" s="97"/>
      <c r="P49" s="97"/>
    </row>
    <row r="50" spans="2:16" ht="15.75" x14ac:dyDescent="0.15">
      <c r="B50" s="97"/>
      <c r="C50" s="97"/>
      <c r="D50" s="97"/>
      <c r="E50" s="97"/>
      <c r="F50" s="97"/>
      <c r="G50" s="97"/>
      <c r="H50" s="97"/>
      <c r="I50" s="97"/>
      <c r="L50" s="97"/>
      <c r="M50" s="97"/>
      <c r="N50" s="97"/>
      <c r="O50" s="97"/>
      <c r="P50" s="97"/>
    </row>
    <row r="51" spans="2:16" ht="15.75" x14ac:dyDescent="0.15">
      <c r="B51" s="97"/>
      <c r="C51" s="97"/>
      <c r="D51" s="97"/>
      <c r="E51" s="97"/>
      <c r="F51" s="97"/>
      <c r="G51" s="97"/>
      <c r="H51" s="97"/>
      <c r="I51" s="97"/>
      <c r="L51" s="97"/>
      <c r="M51" s="97"/>
      <c r="N51" s="97"/>
      <c r="O51" s="97"/>
      <c r="P51" s="97"/>
    </row>
    <row r="52" spans="2:16" ht="15.75" x14ac:dyDescent="0.15">
      <c r="B52" s="97"/>
      <c r="C52" s="97"/>
      <c r="D52" s="97"/>
      <c r="E52" s="97"/>
      <c r="F52" s="97"/>
      <c r="G52" s="97"/>
      <c r="H52" s="97"/>
      <c r="I52" s="97"/>
      <c r="L52" s="97"/>
      <c r="M52" s="97"/>
      <c r="N52" s="97"/>
      <c r="O52" s="97"/>
      <c r="P52" s="97"/>
    </row>
    <row r="53" spans="2:16" ht="15.75" x14ac:dyDescent="0.15">
      <c r="B53" s="97"/>
      <c r="C53" s="97"/>
      <c r="D53" s="97"/>
      <c r="E53" s="97"/>
      <c r="F53" s="97"/>
      <c r="G53" s="97"/>
      <c r="H53" s="97"/>
      <c r="I53" s="97"/>
      <c r="L53" s="97"/>
      <c r="M53" s="97"/>
      <c r="N53" s="97"/>
      <c r="O53" s="97"/>
      <c r="P53" s="97"/>
    </row>
    <row r="54" spans="2:16" ht="15.75" x14ac:dyDescent="0.15">
      <c r="B54" s="97"/>
      <c r="C54" s="97"/>
      <c r="D54" s="97"/>
      <c r="E54" s="97"/>
      <c r="F54" s="97"/>
      <c r="G54" s="97"/>
      <c r="H54" s="97"/>
      <c r="I54" s="97"/>
      <c r="L54" s="97"/>
      <c r="M54" s="97"/>
      <c r="N54" s="97"/>
      <c r="O54" s="97"/>
      <c r="P54" s="97"/>
    </row>
    <row r="55" spans="2:16" ht="15.75" x14ac:dyDescent="0.15">
      <c r="B55" s="97"/>
      <c r="C55" s="97"/>
      <c r="D55" s="97"/>
      <c r="E55" s="97"/>
      <c r="F55" s="97"/>
      <c r="G55" s="97"/>
      <c r="H55" s="97"/>
      <c r="I55" s="97"/>
      <c r="L55" s="97"/>
      <c r="M55" s="97"/>
      <c r="N55" s="97"/>
      <c r="O55" s="97"/>
      <c r="P55" s="97"/>
    </row>
    <row r="56" spans="2:16" ht="15.75" x14ac:dyDescent="0.15">
      <c r="B56" s="97"/>
      <c r="C56" s="97"/>
      <c r="D56" s="97"/>
      <c r="E56" s="97"/>
      <c r="F56" s="97"/>
      <c r="G56" s="97"/>
      <c r="H56" s="97"/>
      <c r="I56" s="97"/>
      <c r="L56" s="97"/>
      <c r="M56" s="97"/>
      <c r="N56" s="97"/>
      <c r="O56" s="97"/>
      <c r="P56" s="97"/>
    </row>
    <row r="57" spans="2:16" ht="15.75" x14ac:dyDescent="0.15">
      <c r="B57" s="97"/>
      <c r="C57" s="97"/>
      <c r="D57" s="97"/>
      <c r="E57" s="97"/>
      <c r="F57" s="97"/>
      <c r="G57" s="97"/>
      <c r="H57" s="97"/>
      <c r="I57" s="97"/>
      <c r="L57" s="97"/>
      <c r="M57" s="97"/>
      <c r="N57" s="97"/>
      <c r="O57" s="97"/>
      <c r="P57" s="97"/>
    </row>
    <row r="58" spans="2:16" ht="15.75" x14ac:dyDescent="0.15">
      <c r="B58" s="97"/>
      <c r="C58" s="97"/>
      <c r="D58" s="97"/>
      <c r="E58" s="97"/>
      <c r="F58" s="97"/>
      <c r="G58" s="97"/>
      <c r="H58" s="97"/>
      <c r="I58" s="97"/>
      <c r="L58" s="97"/>
      <c r="M58" s="97"/>
      <c r="N58" s="97"/>
      <c r="O58" s="97"/>
      <c r="P58" s="97"/>
    </row>
    <row r="59" spans="2:16" ht="15.75" x14ac:dyDescent="0.15">
      <c r="B59" s="97"/>
      <c r="C59" s="97"/>
      <c r="D59" s="97"/>
      <c r="E59" s="97"/>
      <c r="F59" s="97"/>
      <c r="G59" s="97"/>
      <c r="H59" s="97"/>
      <c r="I59" s="97"/>
      <c r="L59" s="97"/>
      <c r="M59" s="97"/>
      <c r="N59" s="97"/>
      <c r="O59" s="97"/>
      <c r="P59" s="97"/>
    </row>
    <row r="60" spans="2:16" ht="15.75" x14ac:dyDescent="0.15">
      <c r="B60" s="97"/>
      <c r="C60" s="97"/>
      <c r="D60" s="97"/>
      <c r="E60" s="97"/>
      <c r="F60" s="97"/>
      <c r="G60" s="97"/>
      <c r="H60" s="97"/>
      <c r="I60" s="97"/>
      <c r="L60" s="97"/>
      <c r="M60" s="97"/>
      <c r="N60" s="97"/>
      <c r="O60" s="97"/>
      <c r="P60" s="97"/>
    </row>
    <row r="61" spans="2:16" ht="15.75" x14ac:dyDescent="0.15">
      <c r="B61" s="97"/>
      <c r="C61" s="97"/>
      <c r="D61" s="97"/>
      <c r="E61" s="97"/>
      <c r="F61" s="97"/>
      <c r="G61" s="97"/>
      <c r="H61" s="97"/>
      <c r="I61" s="97"/>
      <c r="L61" s="97"/>
      <c r="M61" s="97"/>
      <c r="N61" s="97"/>
      <c r="O61" s="97"/>
      <c r="P61" s="97"/>
    </row>
    <row r="62" spans="2:16" ht="15.75" x14ac:dyDescent="0.15">
      <c r="B62" s="97"/>
      <c r="C62" s="97"/>
      <c r="D62" s="97"/>
      <c r="E62" s="97"/>
      <c r="F62" s="97"/>
      <c r="G62" s="97"/>
      <c r="H62" s="97"/>
      <c r="I62" s="97"/>
      <c r="L62" s="97"/>
      <c r="M62" s="97"/>
      <c r="N62" s="97"/>
      <c r="O62" s="97"/>
      <c r="P62" s="97"/>
    </row>
    <row r="63" spans="2:16" ht="15.75" x14ac:dyDescent="0.15">
      <c r="B63" s="97"/>
      <c r="C63" s="97"/>
      <c r="D63" s="97"/>
      <c r="E63" s="97"/>
      <c r="F63" s="97"/>
      <c r="G63" s="97"/>
      <c r="H63" s="97"/>
      <c r="I63" s="97"/>
      <c r="L63" s="97"/>
      <c r="M63" s="97"/>
      <c r="N63" s="97"/>
      <c r="O63" s="97"/>
      <c r="P63" s="97"/>
    </row>
    <row r="64" spans="2:16" ht="15.75" x14ac:dyDescent="0.15">
      <c r="B64" s="97"/>
      <c r="C64" s="97"/>
      <c r="D64" s="97"/>
      <c r="E64" s="97"/>
      <c r="F64" s="97"/>
      <c r="G64" s="97"/>
      <c r="H64" s="97"/>
      <c r="I64" s="97"/>
      <c r="L64" s="97"/>
      <c r="M64" s="97"/>
      <c r="N64" s="97"/>
      <c r="O64" s="97"/>
      <c r="P64" s="97"/>
    </row>
    <row r="65" spans="2:16" ht="15.75" x14ac:dyDescent="0.15">
      <c r="B65" s="97"/>
      <c r="C65" s="97"/>
      <c r="D65" s="97"/>
      <c r="E65" s="97"/>
      <c r="F65" s="97"/>
      <c r="G65" s="97"/>
      <c r="H65" s="97"/>
      <c r="I65" s="97"/>
      <c r="L65" s="97"/>
      <c r="M65" s="97"/>
      <c r="N65" s="97"/>
      <c r="O65" s="97"/>
      <c r="P65" s="97"/>
    </row>
    <row r="66" spans="2:16" ht="15.75" x14ac:dyDescent="0.15">
      <c r="B66" s="97"/>
      <c r="C66" s="97"/>
      <c r="D66" s="97"/>
      <c r="E66" s="97"/>
      <c r="F66" s="97"/>
      <c r="G66" s="97"/>
      <c r="H66" s="97"/>
      <c r="I66" s="97"/>
      <c r="L66" s="97"/>
      <c r="M66" s="97"/>
      <c r="N66" s="97"/>
      <c r="O66" s="97"/>
      <c r="P66" s="97"/>
    </row>
    <row r="67" spans="2:16" ht="15.75" x14ac:dyDescent="0.15">
      <c r="B67" s="97"/>
      <c r="C67" s="97"/>
      <c r="D67" s="97"/>
      <c r="E67" s="97"/>
      <c r="F67" s="97"/>
      <c r="G67" s="97"/>
      <c r="H67" s="97"/>
      <c r="I67" s="97"/>
      <c r="L67" s="97"/>
      <c r="M67" s="97"/>
      <c r="N67" s="97"/>
      <c r="O67" s="97"/>
      <c r="P67" s="97"/>
    </row>
    <row r="68" spans="2:16" ht="15.75" x14ac:dyDescent="0.15">
      <c r="B68" s="97"/>
      <c r="C68" s="97"/>
      <c r="D68" s="97"/>
      <c r="E68" s="97"/>
      <c r="F68" s="97"/>
      <c r="G68" s="97"/>
      <c r="H68" s="97"/>
      <c r="I68" s="97"/>
      <c r="L68" s="97"/>
      <c r="M68" s="97"/>
      <c r="N68" s="97"/>
      <c r="O68" s="97"/>
      <c r="P68" s="97"/>
    </row>
    <row r="69" spans="2:16" ht="15.75" x14ac:dyDescent="0.15">
      <c r="B69" s="97"/>
      <c r="C69" s="97"/>
      <c r="D69" s="97"/>
      <c r="E69" s="97"/>
      <c r="F69" s="97"/>
      <c r="G69" s="97"/>
      <c r="H69" s="97"/>
      <c r="I69" s="97"/>
      <c r="L69" s="97"/>
      <c r="M69" s="97"/>
      <c r="N69" s="97"/>
      <c r="O69" s="97"/>
      <c r="P69" s="97"/>
    </row>
    <row r="70" spans="2:16" ht="15.75" x14ac:dyDescent="0.15">
      <c r="B70" s="97"/>
      <c r="C70" s="97"/>
      <c r="D70" s="97"/>
      <c r="E70" s="97"/>
      <c r="F70" s="97"/>
      <c r="G70" s="97"/>
      <c r="H70" s="97"/>
      <c r="I70" s="97"/>
      <c r="L70" s="97"/>
      <c r="M70" s="97"/>
      <c r="N70" s="97"/>
      <c r="O70" s="97"/>
      <c r="P70" s="97"/>
    </row>
    <row r="71" spans="2:16" ht="15.75" x14ac:dyDescent="0.15">
      <c r="B71" s="97"/>
      <c r="C71" s="97"/>
      <c r="D71" s="97"/>
      <c r="E71" s="97"/>
      <c r="F71" s="97"/>
      <c r="G71" s="97"/>
      <c r="H71" s="97"/>
      <c r="I71" s="97"/>
      <c r="L71" s="97"/>
      <c r="M71" s="97"/>
      <c r="N71" s="97"/>
      <c r="O71" s="97"/>
      <c r="P71" s="97"/>
    </row>
    <row r="72" spans="2:16" ht="15.75" x14ac:dyDescent="0.15">
      <c r="B72" s="97"/>
      <c r="C72" s="97"/>
      <c r="D72" s="97"/>
      <c r="E72" s="97"/>
      <c r="F72" s="97"/>
      <c r="G72" s="97"/>
      <c r="H72" s="97"/>
      <c r="I72" s="97"/>
      <c r="L72" s="97"/>
      <c r="M72" s="97"/>
      <c r="N72" s="97"/>
      <c r="O72" s="97"/>
      <c r="P72" s="97"/>
    </row>
    <row r="73" spans="2:16" ht="15.75" x14ac:dyDescent="0.15">
      <c r="B73" s="97"/>
      <c r="C73" s="97"/>
      <c r="D73" s="97"/>
      <c r="E73" s="97"/>
      <c r="F73" s="97"/>
      <c r="G73" s="97"/>
      <c r="H73" s="97"/>
      <c r="I73" s="97"/>
      <c r="L73" s="97"/>
      <c r="M73" s="97"/>
      <c r="N73" s="97"/>
      <c r="O73" s="97"/>
      <c r="P73" s="97"/>
    </row>
    <row r="74" spans="2:16" ht="15.75" x14ac:dyDescent="0.15">
      <c r="B74" s="97"/>
      <c r="C74" s="97"/>
      <c r="D74" s="97"/>
      <c r="E74" s="97"/>
      <c r="F74" s="97"/>
      <c r="G74" s="97"/>
      <c r="H74" s="97"/>
      <c r="I74" s="97"/>
      <c r="L74" s="97"/>
      <c r="M74" s="97"/>
      <c r="N74" s="97"/>
      <c r="O74" s="97"/>
      <c r="P74" s="97"/>
    </row>
    <row r="75" spans="2:16" ht="15.75" x14ac:dyDescent="0.15">
      <c r="B75" s="97"/>
      <c r="C75" s="97"/>
      <c r="D75" s="97"/>
      <c r="E75" s="97"/>
      <c r="F75" s="97"/>
      <c r="G75" s="97"/>
      <c r="H75" s="97"/>
      <c r="I75" s="97"/>
      <c r="L75" s="97"/>
      <c r="M75" s="97"/>
      <c r="N75" s="97"/>
      <c r="O75" s="97"/>
      <c r="P75" s="97"/>
    </row>
    <row r="76" spans="2:16" ht="15.75" x14ac:dyDescent="0.15">
      <c r="B76" s="97"/>
      <c r="C76" s="97"/>
      <c r="D76" s="97"/>
      <c r="E76" s="97"/>
      <c r="F76" s="97"/>
      <c r="G76" s="97"/>
      <c r="H76" s="97"/>
      <c r="I76" s="97"/>
      <c r="L76" s="97"/>
      <c r="M76" s="97"/>
      <c r="N76" s="97"/>
      <c r="O76" s="97"/>
      <c r="P76" s="97"/>
    </row>
    <row r="77" spans="2:16" ht="15.75" x14ac:dyDescent="0.15">
      <c r="B77" s="97"/>
      <c r="C77" s="97"/>
      <c r="D77" s="97"/>
      <c r="E77" s="97"/>
      <c r="F77" s="97"/>
      <c r="G77" s="97"/>
      <c r="H77" s="97"/>
      <c r="I77" s="97"/>
      <c r="L77" s="97"/>
      <c r="M77" s="97"/>
      <c r="N77" s="97"/>
      <c r="O77" s="97"/>
      <c r="P77" s="97"/>
    </row>
    <row r="78" spans="2:16" ht="15.75" x14ac:dyDescent="0.15">
      <c r="B78" s="97"/>
      <c r="C78" s="97"/>
      <c r="D78" s="97"/>
      <c r="E78" s="97"/>
      <c r="F78" s="97"/>
      <c r="G78" s="97"/>
      <c r="H78" s="97"/>
      <c r="I78" s="97"/>
      <c r="L78" s="97"/>
      <c r="M78" s="97"/>
      <c r="N78" s="97"/>
      <c r="O78" s="97"/>
      <c r="P78" s="97"/>
    </row>
    <row r="79" spans="2:16" ht="15.75" x14ac:dyDescent="0.15">
      <c r="B79" s="97"/>
      <c r="C79" s="97"/>
      <c r="D79" s="97"/>
      <c r="E79" s="97"/>
      <c r="F79" s="97"/>
      <c r="G79" s="97"/>
      <c r="H79" s="97"/>
      <c r="I79" s="97"/>
      <c r="L79" s="97"/>
      <c r="M79" s="97"/>
      <c r="N79" s="97"/>
      <c r="O79" s="97"/>
      <c r="P79" s="97"/>
    </row>
    <row r="80" spans="2:16" ht="15.75" x14ac:dyDescent="0.15">
      <c r="B80" s="97"/>
      <c r="C80" s="97"/>
      <c r="D80" s="97"/>
      <c r="E80" s="97"/>
      <c r="F80" s="97"/>
      <c r="G80" s="97"/>
      <c r="H80" s="97"/>
      <c r="I80" s="97"/>
      <c r="L80" s="97"/>
      <c r="M80" s="97"/>
      <c r="N80" s="97"/>
      <c r="O80" s="97"/>
      <c r="P80" s="97"/>
    </row>
    <row r="81" spans="2:16" ht="15.75" x14ac:dyDescent="0.15">
      <c r="B81" s="97"/>
      <c r="C81" s="97"/>
      <c r="D81" s="97"/>
      <c r="E81" s="97"/>
      <c r="F81" s="97"/>
      <c r="G81" s="97"/>
      <c r="H81" s="97"/>
      <c r="I81" s="97"/>
      <c r="L81" s="97"/>
      <c r="M81" s="97"/>
      <c r="N81" s="97"/>
      <c r="O81" s="97"/>
      <c r="P81" s="97"/>
    </row>
    <row r="82" spans="2:16" ht="15.75" x14ac:dyDescent="0.15">
      <c r="B82" s="97"/>
      <c r="C82" s="97"/>
      <c r="D82" s="97"/>
      <c r="E82" s="97"/>
      <c r="F82" s="97"/>
      <c r="G82" s="97"/>
      <c r="H82" s="97"/>
      <c r="I82" s="97"/>
      <c r="L82" s="97"/>
      <c r="M82" s="97"/>
      <c r="N82" s="97"/>
      <c r="O82" s="97"/>
      <c r="P82" s="97"/>
    </row>
    <row r="83" spans="2:16" ht="15.75" x14ac:dyDescent="0.15">
      <c r="B83" s="97"/>
      <c r="C83" s="97"/>
      <c r="D83" s="97"/>
      <c r="E83" s="97"/>
      <c r="F83" s="97"/>
      <c r="G83" s="97"/>
      <c r="H83" s="97"/>
      <c r="I83" s="97"/>
      <c r="L83" s="97"/>
      <c r="M83" s="97"/>
      <c r="N83" s="97"/>
      <c r="O83" s="97"/>
      <c r="P83" s="97"/>
    </row>
    <row r="84" spans="2:16" ht="15.75" x14ac:dyDescent="0.15">
      <c r="B84" s="97"/>
      <c r="C84" s="97"/>
      <c r="D84" s="97"/>
      <c r="E84" s="97"/>
      <c r="F84" s="97"/>
      <c r="G84" s="97"/>
      <c r="H84" s="97"/>
      <c r="I84" s="97"/>
      <c r="L84" s="97"/>
      <c r="M84" s="97"/>
      <c r="N84" s="97"/>
      <c r="O84" s="97"/>
      <c r="P84" s="97"/>
    </row>
    <row r="85" spans="2:16" ht="15.75" x14ac:dyDescent="0.15">
      <c r="B85" s="97"/>
      <c r="C85" s="97"/>
      <c r="D85" s="97"/>
      <c r="E85" s="97"/>
      <c r="F85" s="97"/>
      <c r="G85" s="97"/>
      <c r="H85" s="97"/>
      <c r="I85" s="97"/>
      <c r="L85" s="97"/>
      <c r="M85" s="97"/>
      <c r="N85" s="97"/>
      <c r="O85" s="97"/>
      <c r="P85" s="97"/>
    </row>
    <row r="86" spans="2:16" ht="15.75" x14ac:dyDescent="0.15">
      <c r="B86" s="97"/>
      <c r="C86" s="97"/>
      <c r="D86" s="97"/>
      <c r="E86" s="97"/>
      <c r="F86" s="97"/>
      <c r="G86" s="97"/>
      <c r="H86" s="97"/>
      <c r="I86" s="97"/>
      <c r="L86" s="97"/>
      <c r="M86" s="97"/>
      <c r="N86" s="97"/>
      <c r="O86" s="97"/>
      <c r="P86" s="97"/>
    </row>
    <row r="87" spans="2:16" ht="15.75" x14ac:dyDescent="0.15">
      <c r="B87" s="97"/>
      <c r="C87" s="97"/>
      <c r="D87" s="97"/>
      <c r="E87" s="97"/>
      <c r="F87" s="97"/>
      <c r="G87" s="97"/>
      <c r="H87" s="97"/>
      <c r="I87" s="97"/>
      <c r="L87" s="97"/>
      <c r="M87" s="97"/>
      <c r="N87" s="97"/>
      <c r="O87" s="97"/>
      <c r="P87" s="97"/>
    </row>
    <row r="88" spans="2:16" ht="15.75" x14ac:dyDescent="0.15">
      <c r="B88" s="97"/>
      <c r="C88" s="97"/>
      <c r="D88" s="97"/>
      <c r="E88" s="97"/>
      <c r="F88" s="97"/>
      <c r="G88" s="97"/>
      <c r="H88" s="97"/>
      <c r="I88" s="97"/>
      <c r="L88" s="97"/>
      <c r="M88" s="97"/>
      <c r="N88" s="97"/>
      <c r="O88" s="97"/>
      <c r="P88" s="97"/>
    </row>
    <row r="89" spans="2:16" ht="15.75" x14ac:dyDescent="0.15">
      <c r="B89" s="97"/>
      <c r="C89" s="97"/>
      <c r="D89" s="97"/>
      <c r="E89" s="97"/>
      <c r="F89" s="97"/>
      <c r="G89" s="97"/>
      <c r="H89" s="97"/>
      <c r="I89" s="97"/>
      <c r="L89" s="97"/>
      <c r="M89" s="97"/>
      <c r="N89" s="97"/>
      <c r="O89" s="97"/>
      <c r="P89" s="97"/>
    </row>
    <row r="90" spans="2:16" ht="15.75" x14ac:dyDescent="0.15">
      <c r="B90" s="97"/>
      <c r="C90" s="97"/>
      <c r="D90" s="97"/>
      <c r="E90" s="97"/>
      <c r="F90" s="97"/>
      <c r="G90" s="97"/>
      <c r="H90" s="97"/>
      <c r="I90" s="97"/>
      <c r="L90" s="97"/>
      <c r="M90" s="97"/>
      <c r="N90" s="97"/>
      <c r="O90" s="97"/>
      <c r="P90" s="97"/>
    </row>
    <row r="91" spans="2:16" ht="15.75" x14ac:dyDescent="0.15">
      <c r="B91" s="97"/>
      <c r="C91" s="97"/>
      <c r="D91" s="97"/>
      <c r="E91" s="97"/>
      <c r="F91" s="97"/>
      <c r="G91" s="97"/>
      <c r="H91" s="97"/>
      <c r="I91" s="97"/>
      <c r="L91" s="97"/>
      <c r="M91" s="97"/>
      <c r="N91" s="97"/>
      <c r="O91" s="97"/>
      <c r="P91" s="97"/>
    </row>
    <row r="92" spans="2:16" ht="15.75" x14ac:dyDescent="0.15">
      <c r="B92" s="97"/>
      <c r="C92" s="97"/>
      <c r="D92" s="97"/>
      <c r="E92" s="97"/>
      <c r="F92" s="97"/>
      <c r="G92" s="97"/>
      <c r="H92" s="97"/>
      <c r="I92" s="97"/>
      <c r="L92" s="97"/>
      <c r="M92" s="97"/>
      <c r="N92" s="97"/>
      <c r="O92" s="97"/>
      <c r="P92" s="97"/>
    </row>
    <row r="93" spans="2:16" ht="15.75" x14ac:dyDescent="0.15">
      <c r="B93" s="97"/>
      <c r="C93" s="97"/>
      <c r="D93" s="97"/>
      <c r="E93" s="97"/>
      <c r="F93" s="97"/>
      <c r="G93" s="97"/>
      <c r="H93" s="97"/>
      <c r="I93" s="97"/>
      <c r="L93" s="97"/>
      <c r="M93" s="97"/>
      <c r="N93" s="97"/>
      <c r="O93" s="97"/>
      <c r="P93" s="97"/>
    </row>
    <row r="94" spans="2:16" ht="15.75" x14ac:dyDescent="0.15">
      <c r="B94" s="97"/>
      <c r="C94" s="97"/>
      <c r="D94" s="97"/>
      <c r="E94" s="97"/>
      <c r="F94" s="97"/>
      <c r="G94" s="97"/>
      <c r="H94" s="97"/>
      <c r="I94" s="97"/>
      <c r="L94" s="97"/>
      <c r="M94" s="97"/>
      <c r="N94" s="97"/>
      <c r="O94" s="97"/>
      <c r="P94" s="97"/>
    </row>
    <row r="95" spans="2:16" ht="15.75" x14ac:dyDescent="0.15">
      <c r="B95" s="97"/>
      <c r="C95" s="97"/>
      <c r="D95" s="97"/>
      <c r="E95" s="97"/>
      <c r="F95" s="97"/>
      <c r="G95" s="97"/>
      <c r="H95" s="97"/>
      <c r="I95" s="97"/>
      <c r="L95" s="97"/>
      <c r="M95" s="97"/>
      <c r="N95" s="97"/>
      <c r="O95" s="97"/>
      <c r="P95" s="97"/>
    </row>
    <row r="96" spans="2:16" ht="15.75" x14ac:dyDescent="0.15">
      <c r="B96" s="97"/>
      <c r="C96" s="97"/>
      <c r="D96" s="97"/>
      <c r="E96" s="97"/>
      <c r="F96" s="97"/>
      <c r="G96" s="97"/>
      <c r="H96" s="97"/>
      <c r="I96" s="97"/>
      <c r="L96" s="66"/>
      <c r="M96" s="66"/>
      <c r="N96" s="66"/>
      <c r="O96" s="66"/>
      <c r="P96" s="66"/>
    </row>
    <row r="97" spans="2:16" ht="15.75" x14ac:dyDescent="0.15">
      <c r="B97" s="66"/>
      <c r="C97" s="66"/>
      <c r="D97" s="66"/>
      <c r="E97" s="66"/>
      <c r="F97" s="66"/>
      <c r="G97" s="66"/>
      <c r="H97" s="66"/>
      <c r="I97" s="66"/>
      <c r="L97" s="97"/>
      <c r="M97" s="97"/>
      <c r="N97" s="97"/>
      <c r="O97" s="97"/>
      <c r="P97" s="97"/>
    </row>
    <row r="98" spans="2:16" ht="15.75" x14ac:dyDescent="0.15">
      <c r="B98" s="97"/>
      <c r="C98" s="97"/>
      <c r="D98" s="97"/>
      <c r="E98" s="97"/>
      <c r="F98" s="97"/>
      <c r="G98" s="97"/>
      <c r="H98" s="97"/>
      <c r="I98" s="97"/>
      <c r="L98" s="97"/>
      <c r="M98" s="97"/>
      <c r="N98" s="97"/>
      <c r="O98" s="97"/>
      <c r="P98" s="97"/>
    </row>
    <row r="99" spans="2:16" ht="15.75" x14ac:dyDescent="0.15">
      <c r="B99" s="97"/>
      <c r="C99" s="97"/>
      <c r="D99" s="97"/>
      <c r="E99" s="97"/>
      <c r="F99" s="97"/>
      <c r="G99" s="97"/>
      <c r="H99" s="97"/>
      <c r="I99" s="97"/>
      <c r="L99" s="66"/>
      <c r="M99" s="66"/>
      <c r="N99" s="66"/>
      <c r="O99" s="66"/>
      <c r="P99" s="66"/>
    </row>
    <row r="100" spans="2:16" x14ac:dyDescent="0.15">
      <c r="B100" s="66"/>
      <c r="C100" s="66"/>
      <c r="D100" s="66"/>
      <c r="E100" s="66"/>
      <c r="F100" s="66"/>
      <c r="G100" s="66"/>
      <c r="H100" s="66"/>
      <c r="I100" s="66"/>
    </row>
  </sheetData>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834C18CE6A734395ED0496B9DE0224" ma:contentTypeVersion="5" ma:contentTypeDescription="新しいドキュメントを作成します。" ma:contentTypeScope="" ma:versionID="103082a2751702c5fbcf2b4cc7faa1a6">
  <xsd:schema xmlns:xsd="http://www.w3.org/2001/XMLSchema" xmlns:xs="http://www.w3.org/2001/XMLSchema" xmlns:p="http://schemas.microsoft.com/office/2006/metadata/properties" xmlns:ns2="7dee99ea-47bb-4b2c-88a3-7ef9c573d3fe" targetNamespace="http://schemas.microsoft.com/office/2006/metadata/properties" ma:root="true" ma:fieldsID="fabbe2ff31d38001a171047e10918f00" ns2:_="">
    <xsd:import namespace="7dee99ea-47bb-4b2c-88a3-7ef9c573d3f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ee99ea-47bb-4b2c-88a3-7ef9c573d3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43CCFC-C5AF-4DA4-8902-20D7689331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ee99ea-47bb-4b2c-88a3-7ef9c573d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897A06-992A-40DF-90FC-08B264AD6410}">
  <ds:schemaRefs>
    <ds:schemaRef ds:uri="http://schemas.microsoft.com/sharepoint/v3/contenttype/forms"/>
  </ds:schemaRefs>
</ds:datastoreItem>
</file>

<file path=customXml/itemProps3.xml><?xml version="1.0" encoding="utf-8"?>
<ds:datastoreItem xmlns:ds="http://schemas.openxmlformats.org/officeDocument/2006/customXml" ds:itemID="{28014D33-5F01-412E-A49B-A6D4EFAC7C60}">
  <ds:schemaRefs>
    <ds:schemaRef ds:uri="http://schemas.microsoft.com/office/2006/documentManagement/types"/>
    <ds:schemaRef ds:uri="http://purl.org/dc/elements/1.1/"/>
    <ds:schemaRef ds:uri="http://purl.org/dc/terms/"/>
    <ds:schemaRef ds:uri="http://schemas.openxmlformats.org/package/2006/metadata/core-properties"/>
    <ds:schemaRef ds:uri="7dee99ea-47bb-4b2c-88a3-7ef9c573d3fe"/>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36</vt:i4>
      </vt:variant>
    </vt:vector>
  </HeadingPairs>
  <TitlesOfParts>
    <vt:vector size="57" baseType="lpstr">
      <vt:lpstr>入力シート</vt:lpstr>
      <vt:lpstr>「確認申請」自動計算見積書</vt:lpstr>
      <vt:lpstr>「省エネ」自動計算見積書</vt:lpstr>
      <vt:lpstr>「住宅性能評価」自動計算見積書</vt:lpstr>
      <vt:lpstr>【手動用】見積書（確認建築物）</vt:lpstr>
      <vt:lpstr>【手動用】見積書（省エネ）１棟目</vt:lpstr>
      <vt:lpstr>見積書（省エネ） (2棟目)</vt:lpstr>
      <vt:lpstr>見積書（省エネ） (3棟目)</vt:lpstr>
      <vt:lpstr>見積書（適合証明、フラット）</vt:lpstr>
      <vt:lpstr>【手動用】見積書（住宅性能評価）</vt:lpstr>
      <vt:lpstr>見積書（長期使用構造等確認）</vt:lpstr>
      <vt:lpstr>見積書（BELS）</vt:lpstr>
      <vt:lpstr>見積書（低炭素）</vt:lpstr>
      <vt:lpstr>基本入力データシート</vt:lpstr>
      <vt:lpstr>検査料金住所検索データ</vt:lpstr>
      <vt:lpstr>確認申請料金表データ</vt:lpstr>
      <vt:lpstr>省エネ料金表データ</vt:lpstr>
      <vt:lpstr>住宅性能評価、長期使用</vt:lpstr>
      <vt:lpstr>BELS料金表データ</vt:lpstr>
      <vt:lpstr>低炭素料金表データ</vt:lpstr>
      <vt:lpstr>適合証明「フラット」</vt:lpstr>
      <vt:lpstr>「確認申請」自動計算見積書!Print_Area</vt:lpstr>
      <vt:lpstr>「住宅性能評価」自動計算見積書!Print_Area</vt:lpstr>
      <vt:lpstr>「省エネ」自動計算見積書!Print_Area</vt:lpstr>
      <vt:lpstr>'【手動用】見積書（確認建築物）'!Print_Area</vt:lpstr>
      <vt:lpstr>'【手動用】見積書（住宅性能評価）'!Print_Area</vt:lpstr>
      <vt:lpstr>'【手動用】見積書（省エネ）１棟目'!Print_Area</vt:lpstr>
      <vt:lpstr>'見積書（BELS）'!Print_Area</vt:lpstr>
      <vt:lpstr>'見積書（省エネ） (2棟目)'!Print_Area</vt:lpstr>
      <vt:lpstr>'見積書（省エネ） (3棟目)'!Print_Area</vt:lpstr>
      <vt:lpstr>'見積書（長期使用構造等確認）'!Print_Area</vt:lpstr>
      <vt:lpstr>'見積書（低炭素）'!Print_Area</vt:lpstr>
      <vt:lpstr>'見積書（適合証明、フラット）'!Print_Area</vt:lpstr>
      <vt:lpstr>宮崎県</vt:lpstr>
      <vt:lpstr>京都府</vt:lpstr>
      <vt:lpstr>熊本県</vt:lpstr>
      <vt:lpstr>見積先</vt:lpstr>
      <vt:lpstr>見積総額</vt:lpstr>
      <vt:lpstr>広島県</vt:lpstr>
      <vt:lpstr>佐賀県</vt:lpstr>
      <vt:lpstr>埼玉県</vt:lpstr>
      <vt:lpstr>山口県</vt:lpstr>
      <vt:lpstr>鹿児島県</vt:lpstr>
      <vt:lpstr>住宅系</vt:lpstr>
      <vt:lpstr>神奈川県</vt:lpstr>
      <vt:lpstr>性能基準</vt:lpstr>
      <vt:lpstr>千葉県</vt:lpstr>
      <vt:lpstr>大分県</vt:lpstr>
      <vt:lpstr>長崎県</vt:lpstr>
      <vt:lpstr>鳥取県</vt:lpstr>
      <vt:lpstr>東京都</vt:lpstr>
      <vt:lpstr>奈良県</vt:lpstr>
      <vt:lpstr>非住宅</vt:lpstr>
      <vt:lpstr>福岡県</vt:lpstr>
      <vt:lpstr>兵庫県</vt:lpstr>
      <vt:lpstr>北海道</vt:lpstr>
      <vt:lpstr>「確認申請」自動計算見積書!名前</vt:lpstr>
    </vt:vector>
  </TitlesOfParts>
  <Company>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遠山 千晴</dc:creator>
  <cp:lastModifiedBy>粗 裕貴</cp:lastModifiedBy>
  <cp:lastPrinted>2025-07-10T04:02:04Z</cp:lastPrinted>
  <dcterms:created xsi:type="dcterms:W3CDTF">2005-12-26T04:28:04Z</dcterms:created>
  <dcterms:modified xsi:type="dcterms:W3CDTF">2025-07-10T07:07:15Z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名前" linkTarget="名前">
    <vt:lpwstr>ハローストレージ　京都　右京区　西院２－新築工事</vt:lpwstr>
  </property>
  <property fmtid="{D5CDD505-2E9C-101B-9397-08002B2CF9AE}" pid="3" name="見積先" linkTarget="見積先">
    <vt:lpwstr>　　御中</vt:lpwstr>
  </property>
  <property fmtid="{D5CDD505-2E9C-101B-9397-08002B2CF9AE}" pid="4" name="見積総額" linkTarget="見積総額">
    <vt:r8>87200</vt:r8>
  </property>
  <property fmtid="{D5CDD505-2E9C-101B-9397-08002B2CF9AE}" pid="5" name="発行用ハイパーリンク">
    <vt:lpwstr/>
  </property>
  <property fmtid="{D5CDD505-2E9C-101B-9397-08002B2CF9AE}" pid="6" name="作成者">
    <vt:lpwstr/>
  </property>
  <property fmtid="{D5CDD505-2E9C-101B-9397-08002B2CF9AE}" pid="7" name="shinsei">
    <vt:lpwstr/>
  </property>
  <property fmtid="{D5CDD505-2E9C-101B-9397-08002B2CF9AE}" pid="8" name="所属">
    <vt:lpwstr/>
  </property>
  <property fmtid="{D5CDD505-2E9C-101B-9397-08002B2CF9AE}" pid="9" name="remarks">
    <vt:lpwstr/>
  </property>
  <property fmtid="{D5CDD505-2E9C-101B-9397-08002B2CF9AE}" pid="10" name="ContentTypeId">
    <vt:lpwstr>0x010100A82A7C322639A749806BAFC43F114002</vt:lpwstr>
  </property>
</Properties>
</file>